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activeTab="1"/>
  </bookViews>
  <sheets>
    <sheet name="Alternative 1 Base &amp; Volume" sheetId="1" r:id="rId1"/>
    <sheet name="Alternative 2 Base Only" sheetId="2" r:id="rId2"/>
    <sheet name="Sheet1" sheetId="3" r:id="rId3"/>
  </sheets>
  <definedNames>
    <definedName name="_xlnm.Print_Area" localSheetId="0">'Alternative 1 Base &amp; Volume'!$A$1:$AB$44</definedName>
    <definedName name="_xlnm.Print_Area" localSheetId="1">'Alternative 2 Base Only'!$A$1:$AB$41</definedName>
    <definedName name="_xlnm.Print_Titles" localSheetId="0">'Alternative 1 Base &amp; Volume'!$A:$A</definedName>
    <definedName name="_xlnm.Print_Titles" localSheetId="1">'Alternative 2 Base Only'!$A:$A</definedName>
  </definedNames>
  <calcPr calcId="145621"/>
</workbook>
</file>

<file path=xl/calcChain.xml><?xml version="1.0" encoding="utf-8"?>
<calcChain xmlns="http://schemas.openxmlformats.org/spreadsheetml/2006/main">
  <c r="AB20" i="2" l="1"/>
  <c r="AA20" i="2"/>
  <c r="Z20" i="2"/>
  <c r="Y20" i="2"/>
  <c r="X20" i="2"/>
  <c r="U20" i="2"/>
  <c r="T20" i="2"/>
  <c r="S20" i="2"/>
  <c r="R20" i="2"/>
  <c r="Q20" i="2"/>
  <c r="N20" i="2"/>
  <c r="M20" i="2"/>
  <c r="L20" i="2"/>
  <c r="K20" i="2"/>
  <c r="J20" i="2"/>
  <c r="G20" i="2"/>
  <c r="F20" i="2"/>
  <c r="E20" i="2"/>
  <c r="D20" i="2"/>
  <c r="C20" i="2"/>
  <c r="AB20" i="1"/>
  <c r="AA20" i="1"/>
  <c r="Z20" i="1"/>
  <c r="Y20" i="1"/>
  <c r="X20" i="1"/>
  <c r="U20" i="1"/>
  <c r="T20" i="1"/>
  <c r="S20" i="1"/>
  <c r="R20" i="1"/>
  <c r="Q20" i="1"/>
  <c r="N20" i="1"/>
  <c r="M20" i="1"/>
  <c r="L20" i="1"/>
  <c r="K20" i="1"/>
  <c r="J20" i="1"/>
  <c r="G20" i="1"/>
  <c r="F20" i="1"/>
  <c r="E20" i="1"/>
  <c r="D20" i="1"/>
  <c r="C20" i="1"/>
  <c r="D17" i="3" l="1"/>
  <c r="D16" i="3"/>
  <c r="D8" i="3"/>
  <c r="D7" i="3"/>
  <c r="G23" i="3"/>
  <c r="G21" i="3"/>
  <c r="G19" i="3"/>
  <c r="G18" i="3"/>
  <c r="G17" i="3"/>
  <c r="G16" i="3"/>
  <c r="G9" i="3"/>
  <c r="G8" i="3"/>
  <c r="G7" i="3"/>
  <c r="D10" i="3" l="1"/>
  <c r="D9" i="3"/>
  <c r="D18" i="3"/>
  <c r="D19" i="3" s="1"/>
  <c r="G10" i="3"/>
  <c r="B7" i="2"/>
  <c r="C7" i="2"/>
  <c r="D7" i="2"/>
  <c r="E7" i="2"/>
  <c r="F7" i="2"/>
  <c r="G7" i="2"/>
  <c r="I7" i="2"/>
  <c r="J7" i="2"/>
  <c r="K7" i="2"/>
  <c r="L7" i="2"/>
  <c r="M7" i="2"/>
  <c r="N7" i="2"/>
  <c r="P7" i="2"/>
  <c r="Q7" i="2"/>
  <c r="R7" i="2"/>
  <c r="S7" i="2"/>
  <c r="T7" i="2"/>
  <c r="U7" i="2"/>
  <c r="W7" i="2"/>
  <c r="X7" i="2"/>
  <c r="Y7" i="2"/>
  <c r="Z7" i="2"/>
  <c r="AA7" i="2"/>
  <c r="AB7" i="2"/>
  <c r="B8" i="2"/>
  <c r="C8" i="2"/>
  <c r="D8" i="2"/>
  <c r="E8" i="2"/>
  <c r="F8" i="2"/>
  <c r="G8" i="2"/>
  <c r="I8" i="2"/>
  <c r="J8" i="2"/>
  <c r="K8" i="2"/>
  <c r="L8" i="2"/>
  <c r="M8" i="2"/>
  <c r="N8" i="2"/>
  <c r="P8" i="2"/>
  <c r="Q8" i="2"/>
  <c r="R8" i="2"/>
  <c r="S8" i="2"/>
  <c r="T8" i="2"/>
  <c r="U8" i="2"/>
  <c r="W8" i="2"/>
  <c r="X8" i="2"/>
  <c r="Y8" i="2"/>
  <c r="Z8" i="2"/>
  <c r="AA8" i="2"/>
  <c r="AB8" i="2"/>
  <c r="B9" i="2"/>
  <c r="C9" i="2"/>
  <c r="D9" i="2"/>
  <c r="E9" i="2"/>
  <c r="F9" i="2"/>
  <c r="F10" i="2" s="1"/>
  <c r="G9" i="2"/>
  <c r="I9" i="2"/>
  <c r="J9" i="2"/>
  <c r="K9" i="2"/>
  <c r="K10" i="2" s="1"/>
  <c r="L9" i="2"/>
  <c r="M9" i="2"/>
  <c r="N9" i="2"/>
  <c r="P9" i="2"/>
  <c r="Q9" i="2"/>
  <c r="R9" i="2"/>
  <c r="R10" i="2" s="1"/>
  <c r="S9" i="2"/>
  <c r="T9" i="2"/>
  <c r="U9" i="2"/>
  <c r="W9" i="2"/>
  <c r="X9" i="2"/>
  <c r="Y9" i="2"/>
  <c r="Z9" i="2"/>
  <c r="AA9" i="2"/>
  <c r="AB10" i="2" s="1"/>
  <c r="AB9" i="2"/>
  <c r="C10" i="2"/>
  <c r="D10" i="2"/>
  <c r="E10" i="2"/>
  <c r="J10" i="2"/>
  <c r="M10" i="2"/>
  <c r="N10" i="2"/>
  <c r="Q10" i="2"/>
  <c r="S10" i="2"/>
  <c r="T10" i="2"/>
  <c r="U10" i="2"/>
  <c r="X10" i="2"/>
  <c r="Y10" i="2"/>
  <c r="Z10" i="2"/>
  <c r="AA10" i="2"/>
  <c r="C11" i="2"/>
  <c r="D11" i="2"/>
  <c r="E11" i="2"/>
  <c r="J11" i="2"/>
  <c r="M11" i="2"/>
  <c r="N11" i="2"/>
  <c r="Q11" i="2"/>
  <c r="S11" i="2"/>
  <c r="T11" i="2"/>
  <c r="U11" i="2"/>
  <c r="X11" i="2"/>
  <c r="Y11" i="2"/>
  <c r="Z11" i="2"/>
  <c r="AA11" i="2"/>
  <c r="B16" i="2"/>
  <c r="C16" i="2"/>
  <c r="D16" i="2"/>
  <c r="E16" i="2"/>
  <c r="F16" i="2"/>
  <c r="G16" i="2"/>
  <c r="I16" i="2"/>
  <c r="J16" i="2"/>
  <c r="K16" i="2"/>
  <c r="L16" i="2"/>
  <c r="M16" i="2"/>
  <c r="N16" i="2"/>
  <c r="P16" i="2"/>
  <c r="Q16" i="2"/>
  <c r="R16" i="2"/>
  <c r="S16" i="2"/>
  <c r="T16" i="2"/>
  <c r="U16" i="2"/>
  <c r="W16" i="2"/>
  <c r="X16" i="2"/>
  <c r="Y16" i="2"/>
  <c r="Z16" i="2"/>
  <c r="AA16" i="2"/>
  <c r="AB16" i="2"/>
  <c r="B17" i="2"/>
  <c r="C17" i="2"/>
  <c r="D17" i="2"/>
  <c r="E17" i="2"/>
  <c r="F17" i="2"/>
  <c r="G17" i="2"/>
  <c r="I17" i="2"/>
  <c r="J17" i="2"/>
  <c r="K17" i="2"/>
  <c r="L17" i="2"/>
  <c r="M17" i="2"/>
  <c r="N17" i="2"/>
  <c r="P17" i="2"/>
  <c r="Q17" i="2"/>
  <c r="R17" i="2"/>
  <c r="S17" i="2"/>
  <c r="T17" i="2"/>
  <c r="U17" i="2"/>
  <c r="W17" i="2"/>
  <c r="X17" i="2"/>
  <c r="Y17" i="2"/>
  <c r="Z17" i="2"/>
  <c r="AA17" i="2"/>
  <c r="AB17" i="2"/>
  <c r="B18" i="2"/>
  <c r="C18" i="2"/>
  <c r="C19" i="2" s="1"/>
  <c r="D18" i="2"/>
  <c r="E18" i="2"/>
  <c r="F18" i="2"/>
  <c r="F19" i="2" s="1"/>
  <c r="G18" i="2"/>
  <c r="G19" i="2" s="1"/>
  <c r="I18" i="2"/>
  <c r="J18" i="2"/>
  <c r="K18" i="2"/>
  <c r="L18" i="2"/>
  <c r="L19" i="2" s="1"/>
  <c r="M18" i="2"/>
  <c r="M19" i="2" s="1"/>
  <c r="N18" i="2"/>
  <c r="P18" i="2"/>
  <c r="Q18" i="2"/>
  <c r="R18" i="2"/>
  <c r="S19" i="2" s="1"/>
  <c r="S18" i="2"/>
  <c r="T18" i="2"/>
  <c r="U18" i="2"/>
  <c r="W18" i="2"/>
  <c r="X18" i="2"/>
  <c r="Y18" i="2"/>
  <c r="Z18" i="2"/>
  <c r="AA18" i="2"/>
  <c r="AB19" i="2" s="1"/>
  <c r="AB18" i="2"/>
  <c r="D19" i="2"/>
  <c r="E19" i="2"/>
  <c r="J19" i="2"/>
  <c r="K19" i="2"/>
  <c r="N19" i="2"/>
  <c r="Q19" i="2"/>
  <c r="T19" i="2"/>
  <c r="U19" i="2"/>
  <c r="X19" i="2"/>
  <c r="Y19" i="2"/>
  <c r="Z19" i="2"/>
  <c r="AA19" i="2"/>
  <c r="B21" i="2"/>
  <c r="C21" i="2"/>
  <c r="C22" i="2" s="1"/>
  <c r="D21" i="2"/>
  <c r="E21" i="2"/>
  <c r="F21" i="2"/>
  <c r="F22" i="2" s="1"/>
  <c r="G21" i="2"/>
  <c r="I21" i="2"/>
  <c r="J21" i="2"/>
  <c r="K21" i="2"/>
  <c r="K24" i="2" s="1"/>
  <c r="K26" i="2" s="1"/>
  <c r="L21" i="2"/>
  <c r="M21" i="2"/>
  <c r="M22" i="2" s="1"/>
  <c r="N21" i="2"/>
  <c r="P21" i="2"/>
  <c r="Q21" i="2"/>
  <c r="R21" i="2"/>
  <c r="S22" i="2" s="1"/>
  <c r="S21" i="2"/>
  <c r="T21" i="2"/>
  <c r="U21" i="2"/>
  <c r="W21" i="2"/>
  <c r="X22" i="2" s="1"/>
  <c r="X21" i="2"/>
  <c r="Y21" i="2"/>
  <c r="Z21" i="2"/>
  <c r="AA21" i="2"/>
  <c r="AB22" i="2" s="1"/>
  <c r="AB21" i="2"/>
  <c r="D22" i="2"/>
  <c r="E22" i="2"/>
  <c r="J22" i="2"/>
  <c r="N22" i="2"/>
  <c r="Q22" i="2"/>
  <c r="T22" i="2"/>
  <c r="U22" i="2"/>
  <c r="Y22" i="2"/>
  <c r="Z22" i="2"/>
  <c r="AA22" i="2"/>
  <c r="D24" i="2"/>
  <c r="E24" i="2"/>
  <c r="J24" i="2"/>
  <c r="N24" i="2"/>
  <c r="Q24" i="2"/>
  <c r="T24" i="2"/>
  <c r="U24" i="2"/>
  <c r="Y24" i="2"/>
  <c r="Z24" i="2"/>
  <c r="AA24" i="2"/>
  <c r="D26" i="2"/>
  <c r="E26" i="2"/>
  <c r="J26" i="2"/>
  <c r="N26" i="2"/>
  <c r="Q26" i="2"/>
  <c r="T26" i="2"/>
  <c r="U26" i="2"/>
  <c r="Y26" i="2"/>
  <c r="Z26" i="2"/>
  <c r="AA26" i="2"/>
  <c r="G27" i="2"/>
  <c r="N27" i="2"/>
  <c r="U27" i="2"/>
  <c r="B32" i="2"/>
  <c r="C32" i="2"/>
  <c r="D32" i="2"/>
  <c r="E32" i="2"/>
  <c r="F32" i="2"/>
  <c r="G32" i="2"/>
  <c r="I32" i="2"/>
  <c r="J32" i="2"/>
  <c r="K32" i="2"/>
  <c r="L32" i="2"/>
  <c r="M32" i="2"/>
  <c r="N32" i="2"/>
  <c r="P32" i="2"/>
  <c r="Q32" i="2"/>
  <c r="R32" i="2"/>
  <c r="S32" i="2"/>
  <c r="T32" i="2"/>
  <c r="U32" i="2"/>
  <c r="W32" i="2"/>
  <c r="X32" i="2"/>
  <c r="Y32" i="2"/>
  <c r="Z32" i="2"/>
  <c r="AA32" i="2"/>
  <c r="AB32" i="2"/>
  <c r="B33" i="2"/>
  <c r="E34" i="2" s="1"/>
  <c r="I33" i="2"/>
  <c r="P33" i="2"/>
  <c r="W33" i="2"/>
  <c r="B34" i="2"/>
  <c r="C34" i="2"/>
  <c r="C35" i="2" s="1"/>
  <c r="C36" i="2" s="1"/>
  <c r="D34" i="2"/>
  <c r="F34" i="2"/>
  <c r="G34" i="2"/>
  <c r="I34" i="2"/>
  <c r="K34" i="2"/>
  <c r="L34" i="2"/>
  <c r="M34" i="2"/>
  <c r="P34" i="2"/>
  <c r="Q34" i="2"/>
  <c r="R34" i="2"/>
  <c r="T34" i="2"/>
  <c r="U34" i="2"/>
  <c r="U35" i="2" s="1"/>
  <c r="U36" i="2" s="1"/>
  <c r="W34" i="2"/>
  <c r="Y34" i="2"/>
  <c r="Z34" i="2"/>
  <c r="AA34" i="2"/>
  <c r="AA35" i="2" s="1"/>
  <c r="AA36" i="2" s="1"/>
  <c r="B35" i="2"/>
  <c r="D35" i="2"/>
  <c r="F35" i="2"/>
  <c r="F36" i="2" s="1"/>
  <c r="G35" i="2"/>
  <c r="I35" i="2"/>
  <c r="K35" i="2"/>
  <c r="L35" i="2"/>
  <c r="L36" i="2" s="1"/>
  <c r="L37" i="2" s="1"/>
  <c r="M35" i="2"/>
  <c r="P35" i="2"/>
  <c r="Q35" i="2"/>
  <c r="R35" i="2"/>
  <c r="R36" i="2" s="1"/>
  <c r="R37" i="2" s="1"/>
  <c r="T35" i="2"/>
  <c r="W35" i="2"/>
  <c r="Y35" i="2"/>
  <c r="Y36" i="2" s="1"/>
  <c r="Z35" i="2"/>
  <c r="B36" i="2"/>
  <c r="D36" i="2"/>
  <c r="G36" i="2"/>
  <c r="I36" i="2"/>
  <c r="K36" i="2"/>
  <c r="M36" i="2"/>
  <c r="P36" i="2"/>
  <c r="Q38" i="2" s="1"/>
  <c r="Q40" i="2" s="1"/>
  <c r="Q36" i="2"/>
  <c r="Q37" i="2" s="1"/>
  <c r="T36" i="2"/>
  <c r="W36" i="2"/>
  <c r="Z36" i="2"/>
  <c r="C5" i="1"/>
  <c r="D5" i="1" s="1"/>
  <c r="J5" i="1"/>
  <c r="K5" i="1"/>
  <c r="L5" i="1" s="1"/>
  <c r="Q5" i="1"/>
  <c r="Q7" i="1" s="1"/>
  <c r="X5" i="1"/>
  <c r="Y5" i="1"/>
  <c r="Z5" i="1" s="1"/>
  <c r="B7" i="1"/>
  <c r="I7" i="1"/>
  <c r="J7" i="1"/>
  <c r="K7" i="1"/>
  <c r="P7" i="1"/>
  <c r="W7" i="1"/>
  <c r="X7" i="1"/>
  <c r="Y7" i="1"/>
  <c r="B8" i="1"/>
  <c r="I8" i="1"/>
  <c r="J8" i="1"/>
  <c r="K8" i="1"/>
  <c r="P8" i="1"/>
  <c r="W8" i="1"/>
  <c r="X8" i="1"/>
  <c r="Y8" i="1"/>
  <c r="B9" i="1"/>
  <c r="I9" i="1"/>
  <c r="J9" i="1"/>
  <c r="K9" i="1"/>
  <c r="P9" i="1"/>
  <c r="W9" i="1"/>
  <c r="X9" i="1"/>
  <c r="Y9" i="1"/>
  <c r="J10" i="1"/>
  <c r="K10" i="1"/>
  <c r="X10" i="1"/>
  <c r="Y10" i="1"/>
  <c r="J11" i="1"/>
  <c r="K11" i="1"/>
  <c r="X11" i="1"/>
  <c r="Y11" i="1"/>
  <c r="C14" i="1"/>
  <c r="D14" i="1" s="1"/>
  <c r="J14" i="1"/>
  <c r="K14" i="1"/>
  <c r="L14" i="1" s="1"/>
  <c r="Q14" i="1"/>
  <c r="Q16" i="1" s="1"/>
  <c r="X14" i="1"/>
  <c r="Y14" i="1"/>
  <c r="Z14" i="1" s="1"/>
  <c r="B16" i="1"/>
  <c r="I16" i="1"/>
  <c r="J16" i="1"/>
  <c r="K16" i="1"/>
  <c r="P16" i="1"/>
  <c r="W16" i="1"/>
  <c r="X16" i="1"/>
  <c r="Y16" i="1"/>
  <c r="B17" i="1"/>
  <c r="I17" i="1"/>
  <c r="J17" i="1"/>
  <c r="K17" i="1"/>
  <c r="K18" i="1" s="1"/>
  <c r="P17" i="1"/>
  <c r="W17" i="1"/>
  <c r="X17" i="1"/>
  <c r="Y17" i="1"/>
  <c r="B18" i="1"/>
  <c r="I18" i="1"/>
  <c r="J18" i="1"/>
  <c r="P18" i="1"/>
  <c r="W18" i="1"/>
  <c r="X18" i="1"/>
  <c r="Y18" i="1"/>
  <c r="J19" i="1"/>
  <c r="X19" i="1"/>
  <c r="Y19" i="1"/>
  <c r="B21" i="1"/>
  <c r="I21" i="1"/>
  <c r="J21" i="1"/>
  <c r="J22" i="1" s="1"/>
  <c r="P21" i="1"/>
  <c r="W21" i="1"/>
  <c r="X21" i="1"/>
  <c r="Y21" i="1"/>
  <c r="Y22" i="1" s="1"/>
  <c r="X22" i="1"/>
  <c r="J24" i="1"/>
  <c r="J26" i="1" s="1"/>
  <c r="X24" i="1"/>
  <c r="X26" i="1"/>
  <c r="B35" i="1"/>
  <c r="C35" i="1"/>
  <c r="J35" i="1"/>
  <c r="J37" i="1" s="1"/>
  <c r="K35" i="1"/>
  <c r="P35" i="1"/>
  <c r="Q35" i="1"/>
  <c r="W35" i="1"/>
  <c r="X35" i="1"/>
  <c r="X37" i="1" s="1"/>
  <c r="Y35" i="1"/>
  <c r="Y37" i="1" s="1"/>
  <c r="B36" i="1"/>
  <c r="P36" i="1"/>
  <c r="W36" i="1"/>
  <c r="B37" i="1"/>
  <c r="B38" i="1" s="1"/>
  <c r="C37" i="1"/>
  <c r="I37" i="1"/>
  <c r="K37" i="1"/>
  <c r="K38" i="1" s="1"/>
  <c r="P37" i="1"/>
  <c r="P38" i="1" s="1"/>
  <c r="Q37" i="1"/>
  <c r="W37" i="1"/>
  <c r="W38" i="1" s="1"/>
  <c r="C38" i="1"/>
  <c r="C39" i="1" s="1"/>
  <c r="I38" i="1"/>
  <c r="J38" i="1"/>
  <c r="Q38" i="1"/>
  <c r="Q39" i="1" s="1"/>
  <c r="Q40" i="1" s="1"/>
  <c r="X38" i="1"/>
  <c r="I39" i="1"/>
  <c r="J39" i="1"/>
  <c r="X39" i="1"/>
  <c r="J40" i="1"/>
  <c r="J41" i="1"/>
  <c r="J43" i="1" s="1"/>
  <c r="D21" i="3" l="1"/>
  <c r="D23" i="3" s="1"/>
  <c r="K21" i="1"/>
  <c r="K19" i="1"/>
  <c r="Z37" i="2"/>
  <c r="Z38" i="2"/>
  <c r="Z40" i="2" s="1"/>
  <c r="D38" i="2"/>
  <c r="D40" i="2" s="1"/>
  <c r="Y39" i="1"/>
  <c r="Y38" i="1"/>
  <c r="AA37" i="2"/>
  <c r="AA38" i="2"/>
  <c r="AA40" i="2" s="1"/>
  <c r="U37" i="2"/>
  <c r="U38" i="2"/>
  <c r="U40" i="2" s="1"/>
  <c r="U41" i="2"/>
  <c r="C37" i="2"/>
  <c r="D37" i="2"/>
  <c r="P39" i="1"/>
  <c r="K22" i="2"/>
  <c r="G11" i="2"/>
  <c r="G10" i="2"/>
  <c r="Y40" i="1"/>
  <c r="L22" i="2"/>
  <c r="G22" i="2"/>
  <c r="K11" i="2"/>
  <c r="L10" i="2"/>
  <c r="X40" i="1"/>
  <c r="Y24" i="1"/>
  <c r="Y26" i="1" s="1"/>
  <c r="M37" i="2"/>
  <c r="G38" i="2"/>
  <c r="G40" i="2" s="1"/>
  <c r="E35" i="2"/>
  <c r="E36" i="2"/>
  <c r="F37" i="2"/>
  <c r="G37" i="2"/>
  <c r="R38" i="2"/>
  <c r="R40" i="2" s="1"/>
  <c r="L38" i="2"/>
  <c r="L40" i="2" s="1"/>
  <c r="F38" i="2"/>
  <c r="F40" i="2" s="1"/>
  <c r="AB34" i="2"/>
  <c r="X34" i="2"/>
  <c r="S34" i="2"/>
  <c r="N34" i="2"/>
  <c r="J34" i="2"/>
  <c r="AB27" i="2"/>
  <c r="AB24" i="2"/>
  <c r="AB26" i="2" s="1"/>
  <c r="X24" i="2"/>
  <c r="X26" i="2" s="1"/>
  <c r="R24" i="2"/>
  <c r="R26" i="2" s="1"/>
  <c r="L24" i="2"/>
  <c r="L26" i="2" s="1"/>
  <c r="F24" i="2"/>
  <c r="F26" i="2" s="1"/>
  <c r="R22" i="2"/>
  <c r="R19" i="2"/>
  <c r="AB11" i="2"/>
  <c r="R11" i="2"/>
  <c r="L11" i="2"/>
  <c r="F11" i="2"/>
  <c r="G41" i="2"/>
  <c r="M38" i="2"/>
  <c r="M40" i="2" s="1"/>
  <c r="C38" i="2"/>
  <c r="C40" i="2" s="1"/>
  <c r="S24" i="2"/>
  <c r="S26" i="2" s="1"/>
  <c r="M24" i="2"/>
  <c r="M26" i="2" s="1"/>
  <c r="G24" i="2"/>
  <c r="G26" i="2" s="1"/>
  <c r="C24" i="2"/>
  <c r="C26" i="2" s="1"/>
  <c r="Y41" i="1"/>
  <c r="Y43" i="1" s="1"/>
  <c r="K39" i="1"/>
  <c r="B39" i="1"/>
  <c r="C41" i="1" s="1"/>
  <c r="C43" i="1" s="1"/>
  <c r="Z16" i="1"/>
  <c r="AA14" i="1"/>
  <c r="Q8" i="1"/>
  <c r="Q9" i="1"/>
  <c r="E14" i="1"/>
  <c r="D16" i="1"/>
  <c r="M5" i="1"/>
  <c r="L35" i="1"/>
  <c r="L37" i="1" s="1"/>
  <c r="L7" i="1"/>
  <c r="Q41" i="1"/>
  <c r="Q43" i="1" s="1"/>
  <c r="W39" i="1"/>
  <c r="X41" i="1" s="1"/>
  <c r="X43" i="1" s="1"/>
  <c r="Q17" i="1"/>
  <c r="Q18" i="1" s="1"/>
  <c r="Q19" i="1" s="1"/>
  <c r="Z35" i="1"/>
  <c r="Z37" i="1" s="1"/>
  <c r="Z7" i="1"/>
  <c r="AA5" i="1"/>
  <c r="M14" i="1"/>
  <c r="L16" i="1"/>
  <c r="E5" i="1"/>
  <c r="D7" i="1"/>
  <c r="D35" i="1"/>
  <c r="D37" i="1" s="1"/>
  <c r="R14" i="1"/>
  <c r="R5" i="1"/>
  <c r="C16" i="1"/>
  <c r="C7" i="1"/>
  <c r="K22" i="1" l="1"/>
  <c r="K24" i="1"/>
  <c r="K26" i="1" s="1"/>
  <c r="N35" i="2"/>
  <c r="N36" i="2" s="1"/>
  <c r="S35" i="2"/>
  <c r="S36" i="2" s="1"/>
  <c r="E37" i="2"/>
  <c r="E38" i="2"/>
  <c r="E40" i="2" s="1"/>
  <c r="X35" i="2"/>
  <c r="X36" i="2" s="1"/>
  <c r="J35" i="2"/>
  <c r="J36" i="2"/>
  <c r="AB35" i="2"/>
  <c r="AB36" i="2" s="1"/>
  <c r="C17" i="1"/>
  <c r="C18" i="1"/>
  <c r="C19" i="1" s="1"/>
  <c r="D8" i="1"/>
  <c r="D9" i="1" s="1"/>
  <c r="AA35" i="1"/>
  <c r="AA37" i="1" s="1"/>
  <c r="AA7" i="1"/>
  <c r="AB5" i="1"/>
  <c r="L38" i="1"/>
  <c r="L39" i="1" s="1"/>
  <c r="Q21" i="1"/>
  <c r="Q10" i="1"/>
  <c r="Q11" i="1"/>
  <c r="C40" i="1"/>
  <c r="S5" i="1"/>
  <c r="R35" i="1"/>
  <c r="R37" i="1" s="1"/>
  <c r="R7" i="1"/>
  <c r="F5" i="1"/>
  <c r="E7" i="1"/>
  <c r="E35" i="1"/>
  <c r="E37" i="1" s="1"/>
  <c r="Z8" i="1"/>
  <c r="Z9" i="1" s="1"/>
  <c r="N5" i="1"/>
  <c r="M35" i="1"/>
  <c r="M37" i="1" s="1"/>
  <c r="M7" i="1"/>
  <c r="K40" i="1"/>
  <c r="K41" i="1"/>
  <c r="K43" i="1" s="1"/>
  <c r="S14" i="1"/>
  <c r="R16" i="1"/>
  <c r="L17" i="1"/>
  <c r="L18" i="1" s="1"/>
  <c r="L19" i="1" s="1"/>
  <c r="Z38" i="1"/>
  <c r="Z39" i="1" s="1"/>
  <c r="D17" i="1"/>
  <c r="D18" i="1" s="1"/>
  <c r="D19" i="1" s="1"/>
  <c r="AA16" i="1"/>
  <c r="AB14" i="1"/>
  <c r="AB16" i="1" s="1"/>
  <c r="C8" i="1"/>
  <c r="C9" i="1" s="1"/>
  <c r="D38" i="1"/>
  <c r="D39" i="1" s="1"/>
  <c r="N14" i="1"/>
  <c r="N16" i="1" s="1"/>
  <c r="M16" i="1"/>
  <c r="L8" i="1"/>
  <c r="L9" i="1" s="1"/>
  <c r="F14" i="1"/>
  <c r="E16" i="1"/>
  <c r="Z17" i="1"/>
  <c r="Z18" i="1" s="1"/>
  <c r="Z19" i="1" s="1"/>
  <c r="S37" i="2" l="1"/>
  <c r="S38" i="2"/>
  <c r="S40" i="2" s="1"/>
  <c r="T38" i="2"/>
  <c r="T40" i="2" s="1"/>
  <c r="T37" i="2"/>
  <c r="Y37" i="2"/>
  <c r="Y38" i="2"/>
  <c r="Y40" i="2" s="1"/>
  <c r="X37" i="2"/>
  <c r="X38" i="2"/>
  <c r="X40" i="2" s="1"/>
  <c r="AB37" i="2"/>
  <c r="AB38" i="2"/>
  <c r="AB40" i="2" s="1"/>
  <c r="AB41" i="2"/>
  <c r="J37" i="2"/>
  <c r="J38" i="2"/>
  <c r="J40" i="2" s="1"/>
  <c r="K37" i="2"/>
  <c r="K38" i="2"/>
  <c r="K40" i="2" s="1"/>
  <c r="N37" i="2"/>
  <c r="N38" i="2"/>
  <c r="N40" i="2" s="1"/>
  <c r="N41" i="2"/>
  <c r="Z40" i="1"/>
  <c r="Z41" i="1"/>
  <c r="Z43" i="1" s="1"/>
  <c r="L40" i="1"/>
  <c r="L41" i="1"/>
  <c r="L43" i="1" s="1"/>
  <c r="Z10" i="1"/>
  <c r="Z11" i="1"/>
  <c r="Z21" i="1"/>
  <c r="D10" i="1"/>
  <c r="D11" i="1"/>
  <c r="D21" i="1"/>
  <c r="D40" i="1"/>
  <c r="D41" i="1"/>
  <c r="D43" i="1" s="1"/>
  <c r="L21" i="1"/>
  <c r="L10" i="1"/>
  <c r="L11" i="1"/>
  <c r="T14" i="1"/>
  <c r="S16" i="1"/>
  <c r="AB17" i="1"/>
  <c r="AB18" i="1"/>
  <c r="R17" i="1"/>
  <c r="R18" i="1" s="1"/>
  <c r="R19" i="1" s="1"/>
  <c r="M8" i="1"/>
  <c r="M9" i="1" s="1"/>
  <c r="R8" i="1"/>
  <c r="R9" i="1" s="1"/>
  <c r="E38" i="1"/>
  <c r="E39" i="1"/>
  <c r="E17" i="1"/>
  <c r="E18" i="1" s="1"/>
  <c r="E19" i="1" s="1"/>
  <c r="M17" i="1"/>
  <c r="M18" i="1"/>
  <c r="M19" i="1" s="1"/>
  <c r="C10" i="1"/>
  <c r="C11" i="1"/>
  <c r="C21" i="1"/>
  <c r="N35" i="1"/>
  <c r="N37" i="1" s="1"/>
  <c r="N7" i="1"/>
  <c r="E8" i="1"/>
  <c r="E9" i="1" s="1"/>
  <c r="T5" i="1"/>
  <c r="S35" i="1"/>
  <c r="S37" i="1" s="1"/>
  <c r="S7" i="1"/>
  <c r="Q22" i="1"/>
  <c r="Q24" i="1"/>
  <c r="Q26" i="1" s="1"/>
  <c r="AA8" i="1"/>
  <c r="AA9" i="1" s="1"/>
  <c r="AA17" i="1"/>
  <c r="AA18" i="1" s="1"/>
  <c r="AA19" i="1" s="1"/>
  <c r="M38" i="1"/>
  <c r="M39" i="1" s="1"/>
  <c r="R38" i="1"/>
  <c r="R39" i="1"/>
  <c r="AB7" i="1"/>
  <c r="AB35" i="1"/>
  <c r="AB37" i="1" s="1"/>
  <c r="G14" i="1"/>
  <c r="G16" i="1" s="1"/>
  <c r="F16" i="1"/>
  <c r="N17" i="1"/>
  <c r="N18" i="1" s="1"/>
  <c r="G5" i="1"/>
  <c r="F7" i="1"/>
  <c r="F35" i="1"/>
  <c r="F37" i="1" s="1"/>
  <c r="AA38" i="1"/>
  <c r="AA39" i="1" s="1"/>
  <c r="N19" i="1" l="1"/>
  <c r="AA10" i="1"/>
  <c r="AA11" i="1"/>
  <c r="AA21" i="1"/>
  <c r="M40" i="1"/>
  <c r="M41" i="1"/>
  <c r="M43" i="1" s="1"/>
  <c r="E10" i="1"/>
  <c r="E11" i="1"/>
  <c r="E21" i="1"/>
  <c r="R21" i="1"/>
  <c r="R10" i="1"/>
  <c r="R11" i="1"/>
  <c r="AA40" i="1"/>
  <c r="AA41" i="1"/>
  <c r="AA43" i="1" s="1"/>
  <c r="R40" i="1"/>
  <c r="R41" i="1"/>
  <c r="R43" i="1" s="1"/>
  <c r="N38" i="1"/>
  <c r="N39" i="1" s="1"/>
  <c r="F38" i="1"/>
  <c r="F39" i="1"/>
  <c r="AB8" i="1"/>
  <c r="AB9" i="1" s="1"/>
  <c r="S38" i="1"/>
  <c r="S39" i="1"/>
  <c r="N8" i="1"/>
  <c r="N9" i="1" s="1"/>
  <c r="T16" i="1"/>
  <c r="U14" i="1"/>
  <c r="U16" i="1" s="1"/>
  <c r="F17" i="1"/>
  <c r="F18" i="1" s="1"/>
  <c r="F19" i="1" s="1"/>
  <c r="T7" i="1"/>
  <c r="U5" i="1"/>
  <c r="T35" i="1"/>
  <c r="T37" i="1" s="1"/>
  <c r="E40" i="1"/>
  <c r="E41" i="1"/>
  <c r="E43" i="1" s="1"/>
  <c r="AB19" i="1"/>
  <c r="G7" i="1"/>
  <c r="G35" i="1"/>
  <c r="G37" i="1" s="1"/>
  <c r="G17" i="1"/>
  <c r="G18" i="1" s="1"/>
  <c r="C22" i="1"/>
  <c r="C24" i="1"/>
  <c r="C26" i="1" s="1"/>
  <c r="D22" i="1"/>
  <c r="D24" i="1"/>
  <c r="D26" i="1" s="1"/>
  <c r="F8" i="1"/>
  <c r="F9" i="1" s="1"/>
  <c r="M10" i="1"/>
  <c r="M11" i="1"/>
  <c r="M21" i="1"/>
  <c r="Z22" i="1"/>
  <c r="Z24" i="1"/>
  <c r="Z26" i="1" s="1"/>
  <c r="AB38" i="1"/>
  <c r="AB39" i="1" s="1"/>
  <c r="S8" i="1"/>
  <c r="S9" i="1"/>
  <c r="S17" i="1"/>
  <c r="S18" i="1" s="1"/>
  <c r="S19" i="1" s="1"/>
  <c r="L22" i="1"/>
  <c r="L24" i="1"/>
  <c r="L26" i="1" s="1"/>
  <c r="F21" i="1" l="1"/>
  <c r="F10" i="1"/>
  <c r="F11" i="1"/>
  <c r="N40" i="1"/>
  <c r="N41" i="1"/>
  <c r="N43" i="1" s="1"/>
  <c r="N44" i="1"/>
  <c r="AB10" i="1"/>
  <c r="AB11" i="1"/>
  <c r="AB21" i="1"/>
  <c r="AB40" i="1"/>
  <c r="AB41" i="1"/>
  <c r="AB43" i="1" s="1"/>
  <c r="AB44" i="1"/>
  <c r="N10" i="1"/>
  <c r="N11" i="1"/>
  <c r="N21" i="1"/>
  <c r="U35" i="1"/>
  <c r="U37" i="1" s="1"/>
  <c r="U7" i="1"/>
  <c r="S40" i="1"/>
  <c r="S41" i="1"/>
  <c r="S43" i="1" s="1"/>
  <c r="AA22" i="1"/>
  <c r="AA24" i="1"/>
  <c r="AA26" i="1" s="1"/>
  <c r="S10" i="1"/>
  <c r="S11" i="1"/>
  <c r="S21" i="1"/>
  <c r="M22" i="1"/>
  <c r="M24" i="1"/>
  <c r="M26" i="1" s="1"/>
  <c r="G8" i="1"/>
  <c r="G9" i="1" s="1"/>
  <c r="T38" i="1"/>
  <c r="T39" i="1"/>
  <c r="E22" i="1"/>
  <c r="E24" i="1"/>
  <c r="E26" i="1" s="1"/>
  <c r="G19" i="1"/>
  <c r="U17" i="1"/>
  <c r="U18" i="1"/>
  <c r="F40" i="1"/>
  <c r="F41" i="1"/>
  <c r="F43" i="1" s="1"/>
  <c r="T8" i="1"/>
  <c r="T9" i="1"/>
  <c r="T17" i="1"/>
  <c r="T18" i="1" s="1"/>
  <c r="T19" i="1" s="1"/>
  <c r="G38" i="1"/>
  <c r="G39" i="1"/>
  <c r="R22" i="1"/>
  <c r="R24" i="1"/>
  <c r="R26" i="1" s="1"/>
  <c r="G10" i="1" l="1"/>
  <c r="G11" i="1"/>
  <c r="G21" i="1"/>
  <c r="S22" i="1"/>
  <c r="S24" i="1"/>
  <c r="S26" i="1" s="1"/>
  <c r="U38" i="1"/>
  <c r="U39" i="1" s="1"/>
  <c r="U19" i="1"/>
  <c r="T40" i="1"/>
  <c r="T41" i="1"/>
  <c r="T43" i="1" s="1"/>
  <c r="G40" i="1"/>
  <c r="G41" i="1"/>
  <c r="G43" i="1" s="1"/>
  <c r="G44" i="1"/>
  <c r="T21" i="1"/>
  <c r="T10" i="1"/>
  <c r="T11" i="1"/>
  <c r="N22" i="1"/>
  <c r="N24" i="1"/>
  <c r="N26" i="1" s="1"/>
  <c r="N28" i="1"/>
  <c r="U8" i="1"/>
  <c r="U9" i="1" s="1"/>
  <c r="AB22" i="1"/>
  <c r="AB24" i="1"/>
  <c r="AB26" i="1" s="1"/>
  <c r="AB28" i="1"/>
  <c r="F22" i="1"/>
  <c r="F24" i="1"/>
  <c r="F26" i="1" s="1"/>
  <c r="U21" i="1" l="1"/>
  <c r="U10" i="1"/>
  <c r="U11" i="1"/>
  <c r="U40" i="1"/>
  <c r="U41" i="1"/>
  <c r="U43" i="1" s="1"/>
  <c r="U44" i="1"/>
  <c r="G22" i="1"/>
  <c r="G24" i="1"/>
  <c r="G26" i="1" s="1"/>
  <c r="G28" i="1"/>
  <c r="T22" i="1"/>
  <c r="T24" i="1"/>
  <c r="T26" i="1" s="1"/>
  <c r="U22" i="1" l="1"/>
  <c r="U24" i="1"/>
  <c r="U26" i="1" s="1"/>
  <c r="U28" i="1"/>
</calcChain>
</file>

<file path=xl/sharedStrings.xml><?xml version="1.0" encoding="utf-8"?>
<sst xmlns="http://schemas.openxmlformats.org/spreadsheetml/2006/main" count="220" uniqueCount="53">
  <si>
    <t xml:space="preserve">Five Year % of Increase </t>
  </si>
  <si>
    <t>Annual Increase</t>
  </si>
  <si>
    <t>Monthly Increase</t>
  </si>
  <si>
    <t>% of Increase Water Only</t>
  </si>
  <si>
    <t>Total Water Bill</t>
  </si>
  <si>
    <t>Taxes</t>
  </si>
  <si>
    <t>Base plus Consumption</t>
  </si>
  <si>
    <t>Increase CFT Rate</t>
  </si>
  <si>
    <t>Increase Base fee</t>
  </si>
  <si>
    <t>Current Rates</t>
  </si>
  <si>
    <t>Proposed Rates 2018</t>
  </si>
  <si>
    <t>Proposed Rates 2017</t>
  </si>
  <si>
    <t>Proposed Rates 2016</t>
  </si>
  <si>
    <t>Current Rates- 2015</t>
  </si>
  <si>
    <t>Water - 185%</t>
  </si>
  <si>
    <t>1500 cubic feet every month</t>
  </si>
  <si>
    <t>1000 cubic feet every month</t>
  </si>
  <si>
    <t>600 cubic feet every month</t>
  </si>
  <si>
    <t>300 Cubic feet every month</t>
  </si>
  <si>
    <t>Large Residential Water User</t>
  </si>
  <si>
    <t>Family of 4 Household</t>
  </si>
  <si>
    <t>Two Person Household</t>
  </si>
  <si>
    <t>One Person</t>
  </si>
  <si>
    <t>\</t>
  </si>
  <si>
    <t>OUTSIDE RATES</t>
  </si>
  <si>
    <t>Monthly increase on Bill</t>
  </si>
  <si>
    <t>Total % of Increase</t>
  </si>
  <si>
    <t>Total Water/Sewer Bill</t>
  </si>
  <si>
    <t>% of Increase Sewer Only</t>
  </si>
  <si>
    <t>Total Sewer Bill</t>
  </si>
  <si>
    <t>Base plus consumption</t>
  </si>
  <si>
    <t>Amount of Increase</t>
  </si>
  <si>
    <t>SEWER</t>
  </si>
  <si>
    <t>Water Increase</t>
  </si>
  <si>
    <t xml:space="preserve">Proposed Rates 2020 </t>
  </si>
  <si>
    <t>Proposed Rates 2019</t>
  </si>
  <si>
    <t>Single Person Household</t>
  </si>
  <si>
    <t>WATER</t>
  </si>
  <si>
    <t>Current Rates  W/S</t>
  </si>
  <si>
    <t>Base - 9.50/38.50</t>
  </si>
  <si>
    <t>Volume - 1.90/6.00</t>
  </si>
  <si>
    <t>Water - 600 cft</t>
  </si>
  <si>
    <t>Sewer - 600 cft</t>
  </si>
  <si>
    <t>Tax 6%</t>
  </si>
  <si>
    <t>Total</t>
  </si>
  <si>
    <t>Proposed Rates</t>
  </si>
  <si>
    <t>Base  9.88/44.66</t>
  </si>
  <si>
    <t>Volume- 1.98/6.00</t>
  </si>
  <si>
    <t xml:space="preserve">Increase - Per Month </t>
  </si>
  <si>
    <t>Increase - Per Year</t>
  </si>
  <si>
    <t>Water - 1000 cft</t>
  </si>
  <si>
    <t>Sewer - 1000 cft</t>
  </si>
  <si>
    <t>Sewer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</si>
</sst>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[$$-409]\ #,##0.00"/>
    <numFmt numFmtId="166" formatCode="&quot;$&quot;#,##0.00"/>
    <numFmt numFmtId="167" formatCode="[$$-409]* #,##0.00_);_([$$-409]* \#\,##0.00\);_([$$-409]* &quot;-&quot;??_);_(@_)"/>
    <numFmt numFmtId="168" formatCode="0.000"/>
    <numFmt numFmtId="169" formatCode="0.000%"/>
    <numFmt numFmtId="170" formatCode="[$$-409]\ #,##0"/>
    <numFmt numFmtId="171" formatCode="_([$$-409]* #,##0.00_);_([$$-409]* \(#,##0.00\);_([$$-409]* &quot;-&quot;??_);_(@_)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b/>
      <sz val="10"/>
      <color rgb="FFFF00FF"/>
      <name val="Arial"/>
      <family val="2"/>
    </font>
    <font>
      <b/>
      <sz val="12"/>
      <color rgb="FFFF00FF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8"/>
      <color rgb="FF00B05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color rgb="FF00B050"/>
      <name val="Arial"/>
      <family val="2"/>
    </font>
    <font>
      <sz val="10"/>
      <color rgb="FFFF33CC"/>
      <name val="Arial"/>
      <family val="2"/>
    </font>
    <font>
      <b/>
      <sz val="12"/>
      <color rgb="FFFF33CC"/>
      <name val="Arial"/>
      <family val="2"/>
    </font>
    <font>
      <b/>
      <sz val="12"/>
      <color rgb="FF0070C0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8" tint="-0.499984740745262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1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9" tint="-0.249977111117893"/>
        <bgColor indexed="14"/>
      </patternFill>
    </fill>
    <fill>
      <patternFill patternType="solid">
        <fgColor theme="6" tint="0.39997558519241921"/>
        <bgColor indexed="14"/>
      </patternFill>
    </fill>
    <fill>
      <patternFill patternType="solid">
        <fgColor rgb="FFFFFF99"/>
        <bgColor indexed="14"/>
      </patternFill>
    </fill>
    <fill>
      <patternFill patternType="solid">
        <fgColor theme="1"/>
        <bgColor indexed="14"/>
      </patternFill>
    </fill>
    <fill>
      <patternFill patternType="solid">
        <fgColor indexed="26"/>
        <bgColor indexed="14"/>
      </patternFill>
    </fill>
    <fill>
      <patternFill patternType="solid">
        <fgColor theme="7" tint="0.59999389629810485"/>
        <bgColor indexed="14"/>
      </patternFill>
    </fill>
    <fill>
      <patternFill patternType="solid">
        <fgColor theme="5" tint="0.59999389629810485"/>
        <bgColor indexed="14"/>
      </patternFill>
    </fill>
    <fill>
      <patternFill patternType="solid">
        <fgColor theme="3" tint="0.59999389629810485"/>
        <bgColor indexed="14"/>
      </patternFill>
    </fill>
    <fill>
      <patternFill patternType="solid">
        <fgColor indexed="26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1"/>
        <bgColor indexed="8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rgb="FF5EEBFE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" fontId="1" fillId="0" borderId="0"/>
    <xf numFmtId="165" fontId="1" fillId="0" borderId="0"/>
    <xf numFmtId="10" fontId="1" fillId="0" borderId="0"/>
    <xf numFmtId="3" fontId="1" fillId="0" borderId="0"/>
    <xf numFmtId="170" fontId="1" fillId="0" borderId="0"/>
    <xf numFmtId="14" fontId="1" fillId="0" borderId="0"/>
    <xf numFmtId="2" fontId="1" fillId="0" borderId="0"/>
  </cellStyleXfs>
  <cellXfs count="204">
    <xf numFmtId="0" fontId="0" fillId="0" borderId="0" xfId="0"/>
    <xf numFmtId="0" fontId="0" fillId="2" borderId="0" xfId="0" applyFill="1"/>
    <xf numFmtId="10" fontId="2" fillId="0" borderId="0" xfId="3" applyFont="1"/>
    <xf numFmtId="2" fontId="3" fillId="2" borderId="1" xfId="0" applyNumberFormat="1" applyFont="1" applyFill="1" applyBorder="1"/>
    <xf numFmtId="164" fontId="2" fillId="0" borderId="0" xfId="3" applyNumberFormat="1" applyFont="1"/>
    <xf numFmtId="0" fontId="4" fillId="0" borderId="1" xfId="0" applyFont="1" applyBorder="1"/>
    <xf numFmtId="165" fontId="5" fillId="3" borderId="0" xfId="2" applyFont="1" applyFill="1"/>
    <xf numFmtId="165" fontId="5" fillId="4" borderId="0" xfId="2" applyFont="1" applyFill="1"/>
    <xf numFmtId="165" fontId="5" fillId="5" borderId="0" xfId="2" applyFont="1" applyFill="1"/>
    <xf numFmtId="165" fontId="5" fillId="6" borderId="0" xfId="2" applyFont="1" applyFill="1"/>
    <xf numFmtId="165" fontId="5" fillId="7" borderId="0" xfId="2" applyFont="1" applyFill="1"/>
    <xf numFmtId="0" fontId="6" fillId="8" borderId="1" xfId="0" applyFont="1" applyFill="1" applyBorder="1"/>
    <xf numFmtId="0" fontId="6" fillId="9" borderId="1" xfId="0" applyFont="1" applyFill="1" applyBorder="1"/>
    <xf numFmtId="0" fontId="3" fillId="8" borderId="1" xfId="0" applyFont="1" applyFill="1" applyBorder="1"/>
    <xf numFmtId="0" fontId="6" fillId="0" borderId="1" xfId="0" applyFont="1" applyBorder="1"/>
    <xf numFmtId="165" fontId="7" fillId="10" borderId="1" xfId="2" applyFont="1" applyFill="1" applyBorder="1"/>
    <xf numFmtId="165" fontId="7" fillId="11" borderId="1" xfId="2" applyFont="1" applyFill="1" applyBorder="1"/>
    <xf numFmtId="165" fontId="7" fillId="12" borderId="1" xfId="2" applyFont="1" applyFill="1" applyBorder="1"/>
    <xf numFmtId="165" fontId="7" fillId="13" borderId="1" xfId="2" applyFont="1" applyFill="1" applyBorder="1"/>
    <xf numFmtId="165" fontId="7" fillId="14" borderId="1" xfId="2" applyFont="1" applyFill="1" applyBorder="1"/>
    <xf numFmtId="0" fontId="7" fillId="15" borderId="1" xfId="0" applyFont="1" applyFill="1" applyBorder="1"/>
    <xf numFmtId="166" fontId="7" fillId="16" borderId="1" xfId="0" applyNumberFormat="1" applyFont="1" applyFill="1" applyBorder="1"/>
    <xf numFmtId="166" fontId="7" fillId="17" borderId="1" xfId="0" applyNumberFormat="1" applyFont="1" applyFill="1" applyBorder="1"/>
    <xf numFmtId="166" fontId="7" fillId="5" borderId="1" xfId="0" applyNumberFormat="1" applyFont="1" applyFill="1" applyBorder="1"/>
    <xf numFmtId="166" fontId="7" fillId="6" borderId="1" xfId="0" applyNumberFormat="1" applyFont="1" applyFill="1" applyBorder="1"/>
    <xf numFmtId="0" fontId="8" fillId="15" borderId="1" xfId="0" applyFont="1" applyFill="1" applyBorder="1"/>
    <xf numFmtId="0" fontId="7" fillId="18" borderId="1" xfId="0" applyFont="1" applyFill="1" applyBorder="1"/>
    <xf numFmtId="0" fontId="7" fillId="0" borderId="1" xfId="0" applyFont="1" applyBorder="1"/>
    <xf numFmtId="164" fontId="8" fillId="16" borderId="1" xfId="0" applyNumberFormat="1" applyFont="1" applyFill="1" applyBorder="1"/>
    <xf numFmtId="164" fontId="8" fillId="19" borderId="1" xfId="0" applyNumberFormat="1" applyFont="1" applyFill="1" applyBorder="1"/>
    <xf numFmtId="164" fontId="3" fillId="5" borderId="1" xfId="0" applyNumberFormat="1" applyFont="1" applyFill="1" applyBorder="1"/>
    <xf numFmtId="164" fontId="3" fillId="6" borderId="1" xfId="0" applyNumberFormat="1" applyFont="1" applyFill="1" applyBorder="1"/>
    <xf numFmtId="164" fontId="3" fillId="7" borderId="1" xfId="0" applyNumberFormat="1" applyFont="1" applyFill="1" applyBorder="1"/>
    <xf numFmtId="9" fontId="8" fillId="15" borderId="1" xfId="0" applyNumberFormat="1" applyFont="1" applyFill="1" applyBorder="1"/>
    <xf numFmtId="9" fontId="8" fillId="18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10" fontId="3" fillId="7" borderId="1" xfId="0" applyNumberFormat="1" applyFont="1" applyFill="1" applyBorder="1"/>
    <xf numFmtId="9" fontId="8" fillId="16" borderId="1" xfId="0" applyNumberFormat="1" applyFont="1" applyFill="1" applyBorder="1"/>
    <xf numFmtId="9" fontId="8" fillId="19" borderId="1" xfId="0" applyNumberFormat="1" applyFont="1" applyFill="1" applyBorder="1"/>
    <xf numFmtId="0" fontId="3" fillId="0" borderId="1" xfId="1" applyNumberFormat="1" applyFont="1" applyBorder="1"/>
    <xf numFmtId="167" fontId="8" fillId="16" borderId="2" xfId="0" applyNumberFormat="1" applyFont="1" applyFill="1" applyBorder="1"/>
    <xf numFmtId="167" fontId="8" fillId="19" borderId="2" xfId="0" applyNumberFormat="1" applyFont="1" applyFill="1" applyBorder="1"/>
    <xf numFmtId="167" fontId="8" fillId="20" borderId="2" xfId="0" applyNumberFormat="1" applyFont="1" applyFill="1" applyBorder="1"/>
    <xf numFmtId="167" fontId="8" fillId="21" borderId="2" xfId="0" applyNumberFormat="1" applyFont="1" applyFill="1" applyBorder="1"/>
    <xf numFmtId="167" fontId="8" fillId="22" borderId="2" xfId="0" applyNumberFormat="1" applyFont="1" applyFill="1" applyBorder="1"/>
    <xf numFmtId="167" fontId="8" fillId="15" borderId="2" xfId="0" applyNumberFormat="1" applyFont="1" applyFill="1" applyBorder="1"/>
    <xf numFmtId="167" fontId="8" fillId="18" borderId="2" xfId="0" applyNumberFormat="1" applyFont="1" applyFill="1" applyBorder="1"/>
    <xf numFmtId="167" fontId="8" fillId="5" borderId="2" xfId="0" applyNumberFormat="1" applyFont="1" applyFill="1" applyBorder="1"/>
    <xf numFmtId="167" fontId="8" fillId="6" borderId="2" xfId="0" applyNumberFormat="1" applyFont="1" applyFill="1" applyBorder="1"/>
    <xf numFmtId="167" fontId="8" fillId="7" borderId="2" xfId="0" applyNumberFormat="1" applyFont="1" applyFill="1" applyBorder="1"/>
    <xf numFmtId="0" fontId="8" fillId="0" borderId="3" xfId="1" applyNumberFormat="1" applyFont="1" applyBorder="1"/>
    <xf numFmtId="167" fontId="3" fillId="16" borderId="2" xfId="0" applyNumberFormat="1" applyFont="1" applyFill="1" applyBorder="1"/>
    <xf numFmtId="167" fontId="3" fillId="19" borderId="2" xfId="0" applyNumberFormat="1" applyFont="1" applyFill="1" applyBorder="1"/>
    <xf numFmtId="167" fontId="3" fillId="20" borderId="2" xfId="0" applyNumberFormat="1" applyFont="1" applyFill="1" applyBorder="1"/>
    <xf numFmtId="167" fontId="3" fillId="21" borderId="2" xfId="0" applyNumberFormat="1" applyFont="1" applyFill="1" applyBorder="1"/>
    <xf numFmtId="167" fontId="3" fillId="22" borderId="2" xfId="0" applyNumberFormat="1" applyFont="1" applyFill="1" applyBorder="1"/>
    <xf numFmtId="167" fontId="3" fillId="15" borderId="2" xfId="0" applyNumberFormat="1" applyFont="1" applyFill="1" applyBorder="1"/>
    <xf numFmtId="167" fontId="3" fillId="18" borderId="2" xfId="0" applyNumberFormat="1" applyFont="1" applyFill="1" applyBorder="1"/>
    <xf numFmtId="167" fontId="3" fillId="5" borderId="2" xfId="0" applyNumberFormat="1" applyFont="1" applyFill="1" applyBorder="1"/>
    <xf numFmtId="167" fontId="3" fillId="6" borderId="2" xfId="0" applyNumberFormat="1" applyFont="1" applyFill="1" applyBorder="1"/>
    <xf numFmtId="167" fontId="3" fillId="7" borderId="2" xfId="0" applyNumberFormat="1" applyFont="1" applyFill="1" applyBorder="1"/>
    <xf numFmtId="0" fontId="3" fillId="0" borderId="3" xfId="1" applyNumberFormat="1" applyFont="1" applyBorder="1"/>
    <xf numFmtId="0" fontId="3" fillId="0" borderId="0" xfId="0" applyFont="1"/>
    <xf numFmtId="0" fontId="3" fillId="10" borderId="1" xfId="0" applyFont="1" applyFill="1" applyBorder="1"/>
    <xf numFmtId="0" fontId="3" fillId="23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168" fontId="3" fillId="8" borderId="1" xfId="0" applyNumberFormat="1" applyFont="1" applyFill="1" applyBorder="1"/>
    <xf numFmtId="0" fontId="3" fillId="9" borderId="1" xfId="0" applyFont="1" applyFill="1" applyBorder="1"/>
    <xf numFmtId="0" fontId="3" fillId="0" borderId="4" xfId="0" applyFont="1" applyBorder="1"/>
    <xf numFmtId="2" fontId="3" fillId="10" borderId="1" xfId="0" applyNumberFormat="1" applyFont="1" applyFill="1" applyBorder="1"/>
    <xf numFmtId="2" fontId="3" fillId="23" borderId="1" xfId="0" applyNumberFormat="1" applyFont="1" applyFill="1" applyBorder="1"/>
    <xf numFmtId="2" fontId="3" fillId="5" borderId="1" xfId="0" applyNumberFormat="1" applyFont="1" applyFill="1" applyBorder="1"/>
    <xf numFmtId="2" fontId="3" fillId="6" borderId="1" xfId="0" applyNumberFormat="1" applyFont="1" applyFill="1" applyBorder="1"/>
    <xf numFmtId="2" fontId="3" fillId="8" borderId="1" xfId="0" applyNumberFormat="1" applyFont="1" applyFill="1" applyBorder="1"/>
    <xf numFmtId="0" fontId="3" fillId="0" borderId="1" xfId="0" applyFont="1" applyBorder="1"/>
    <xf numFmtId="0" fontId="8" fillId="10" borderId="1" xfId="0" applyFont="1" applyFill="1" applyBorder="1"/>
    <xf numFmtId="0" fontId="8" fillId="23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/>
    <xf numFmtId="0" fontId="0" fillId="3" borderId="0" xfId="0" applyFill="1"/>
    <xf numFmtId="0" fontId="8" fillId="0" borderId="1" xfId="0" applyFont="1" applyBorder="1"/>
    <xf numFmtId="0" fontId="0" fillId="24" borderId="0" xfId="0" applyFill="1"/>
    <xf numFmtId="0" fontId="0" fillId="25" borderId="0" xfId="0" applyFill="1"/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25" borderId="0" xfId="0" applyFont="1" applyFill="1" applyBorder="1"/>
    <xf numFmtId="0" fontId="3" fillId="25" borderId="1" xfId="0" applyFont="1" applyFill="1" applyBorder="1"/>
    <xf numFmtId="2" fontId="3" fillId="7" borderId="1" xfId="0" applyNumberFormat="1" applyFont="1" applyFill="1" applyBorder="1"/>
    <xf numFmtId="165" fontId="3" fillId="5" borderId="1" xfId="0" applyNumberFormat="1" applyFont="1" applyFill="1" applyBorder="1"/>
    <xf numFmtId="165" fontId="3" fillId="6" borderId="1" xfId="0" applyNumberFormat="1" applyFont="1" applyFill="1" applyBorder="1"/>
    <xf numFmtId="165" fontId="3" fillId="7" borderId="1" xfId="0" applyNumberFormat="1" applyFont="1" applyFill="1" applyBorder="1"/>
    <xf numFmtId="2" fontId="10" fillId="10" borderId="1" xfId="0" applyNumberFormat="1" applyFont="1" applyFill="1" applyBorder="1"/>
    <xf numFmtId="2" fontId="10" fillId="23" borderId="1" xfId="0" applyNumberFormat="1" applyFont="1" applyFill="1" applyBorder="1"/>
    <xf numFmtId="165" fontId="10" fillId="5" borderId="1" xfId="0" applyNumberFormat="1" applyFont="1" applyFill="1" applyBorder="1"/>
    <xf numFmtId="165" fontId="10" fillId="6" borderId="1" xfId="0" applyNumberFormat="1" applyFont="1" applyFill="1" applyBorder="1"/>
    <xf numFmtId="165" fontId="10" fillId="7" borderId="1" xfId="0" applyNumberFormat="1" applyFont="1" applyFill="1" applyBorder="1"/>
    <xf numFmtId="0" fontId="10" fillId="9" borderId="1" xfId="0" applyFont="1" applyFill="1" applyBorder="1"/>
    <xf numFmtId="0" fontId="10" fillId="0" borderId="1" xfId="0" applyFont="1" applyBorder="1"/>
    <xf numFmtId="10" fontId="1" fillId="3" borderId="0" xfId="3" applyFill="1"/>
    <xf numFmtId="10" fontId="3" fillId="23" borderId="1" xfId="0" applyNumberFormat="1" applyFont="1" applyFill="1" applyBorder="1"/>
    <xf numFmtId="10" fontId="3" fillId="10" borderId="1" xfId="0" applyNumberFormat="1" applyFont="1" applyFill="1" applyBorder="1"/>
    <xf numFmtId="165" fontId="3" fillId="8" borderId="1" xfId="0" applyNumberFormat="1" applyFont="1" applyFill="1" applyBorder="1"/>
    <xf numFmtId="165" fontId="3" fillId="9" borderId="1" xfId="0" applyNumberFormat="1" applyFont="1" applyFill="1" applyBorder="1"/>
    <xf numFmtId="164" fontId="3" fillId="10" borderId="1" xfId="0" applyNumberFormat="1" applyFont="1" applyFill="1" applyBorder="1"/>
    <xf numFmtId="164" fontId="3" fillId="23" borderId="1" xfId="0" applyNumberFormat="1" applyFont="1" applyFill="1" applyBorder="1"/>
    <xf numFmtId="164" fontId="1" fillId="3" borderId="0" xfId="3" applyNumberFormat="1" applyFill="1"/>
    <xf numFmtId="164" fontId="1" fillId="4" borderId="0" xfId="3" applyNumberFormat="1" applyFill="1"/>
    <xf numFmtId="0" fontId="3" fillId="0" borderId="3" xfId="0" applyFont="1" applyBorder="1"/>
    <xf numFmtId="167" fontId="3" fillId="26" borderId="2" xfId="2" applyNumberFormat="1" applyFont="1" applyFill="1" applyBorder="1"/>
    <xf numFmtId="167" fontId="3" fillId="27" borderId="2" xfId="2" applyNumberFormat="1" applyFont="1" applyFill="1" applyBorder="1"/>
    <xf numFmtId="167" fontId="3" fillId="28" borderId="2" xfId="2" applyNumberFormat="1" applyFont="1" applyFill="1" applyBorder="1"/>
    <xf numFmtId="167" fontId="3" fillId="29" borderId="2" xfId="2" applyNumberFormat="1" applyFont="1" applyFill="1" applyBorder="1"/>
    <xf numFmtId="0" fontId="3" fillId="0" borderId="1" xfId="0" applyFont="1" applyFill="1" applyBorder="1"/>
    <xf numFmtId="2" fontId="8" fillId="16" borderId="1" xfId="0" applyNumberFormat="1" applyFont="1" applyFill="1" applyBorder="1"/>
    <xf numFmtId="2" fontId="8" fillId="19" borderId="1" xfId="0" applyNumberFormat="1" applyFont="1" applyFill="1" applyBorder="1"/>
    <xf numFmtId="165" fontId="3" fillId="12" borderId="1" xfId="2" applyFont="1" applyFill="1" applyBorder="1"/>
    <xf numFmtId="165" fontId="3" fillId="13" borderId="1" xfId="2" applyFont="1" applyFill="1" applyBorder="1"/>
    <xf numFmtId="165" fontId="3" fillId="14" borderId="1" xfId="2" applyFont="1" applyFill="1" applyBorder="1"/>
    <xf numFmtId="0" fontId="8" fillId="18" borderId="1" xfId="0" applyFont="1" applyFill="1" applyBorder="1"/>
    <xf numFmtId="10" fontId="1" fillId="0" borderId="0" xfId="3"/>
    <xf numFmtId="169" fontId="1" fillId="2" borderId="0" xfId="3" applyNumberFormat="1" applyFill="1"/>
    <xf numFmtId="0" fontId="8" fillId="30" borderId="1" xfId="0" applyFont="1" applyFill="1" applyBorder="1"/>
    <xf numFmtId="10" fontId="1" fillId="25" borderId="0" xfId="3" applyFill="1"/>
    <xf numFmtId="0" fontId="1" fillId="2" borderId="0" xfId="0" applyFont="1" applyFill="1"/>
    <xf numFmtId="9" fontId="8" fillId="30" borderId="0" xfId="0" applyNumberFormat="1" applyFont="1" applyFill="1" applyBorder="1"/>
    <xf numFmtId="164" fontId="3" fillId="2" borderId="0" xfId="0" applyNumberFormat="1" applyFont="1" applyFill="1" applyBorder="1"/>
    <xf numFmtId="9" fontId="8" fillId="30" borderId="1" xfId="0" applyNumberFormat="1" applyFont="1" applyFill="1" applyBorder="1"/>
    <xf numFmtId="9" fontId="8" fillId="18" borderId="0" xfId="0" applyNumberFormat="1" applyFont="1" applyFill="1" applyBorder="1"/>
    <xf numFmtId="9" fontId="8" fillId="16" borderId="6" xfId="0" applyNumberFormat="1" applyFont="1" applyFill="1" applyBorder="1"/>
    <xf numFmtId="9" fontId="8" fillId="19" borderId="6" xfId="0" applyNumberFormat="1" applyFont="1" applyFill="1" applyBorder="1"/>
    <xf numFmtId="164" fontId="3" fillId="5" borderId="6" xfId="0" applyNumberFormat="1" applyFont="1" applyFill="1" applyBorder="1"/>
    <xf numFmtId="164" fontId="3" fillId="6" borderId="6" xfId="0" applyNumberFormat="1" applyFont="1" applyFill="1" applyBorder="1"/>
    <xf numFmtId="10" fontId="3" fillId="7" borderId="6" xfId="0" applyNumberFormat="1" applyFont="1" applyFill="1" applyBorder="1"/>
    <xf numFmtId="9" fontId="8" fillId="18" borderId="6" xfId="0" applyNumberFormat="1" applyFont="1" applyFill="1" applyBorder="1"/>
    <xf numFmtId="10" fontId="1" fillId="7" borderId="7" xfId="3" applyFill="1" applyBorder="1"/>
    <xf numFmtId="2" fontId="3" fillId="9" borderId="1" xfId="0" applyNumberFormat="1" applyFont="1" applyFill="1" applyBorder="1"/>
    <xf numFmtId="10" fontId="1" fillId="2" borderId="0" xfId="3" applyFill="1"/>
    <xf numFmtId="0" fontId="12" fillId="25" borderId="1" xfId="0" applyFont="1" applyFill="1" applyBorder="1"/>
    <xf numFmtId="164" fontId="2" fillId="2" borderId="0" xfId="3" applyNumberFormat="1" applyFont="1" applyFill="1"/>
    <xf numFmtId="0" fontId="3" fillId="31" borderId="1" xfId="0" applyFont="1" applyFill="1" applyBorder="1"/>
    <xf numFmtId="0" fontId="3" fillId="2" borderId="1" xfId="0" applyFont="1" applyFill="1" applyBorder="1"/>
    <xf numFmtId="0" fontId="13" fillId="0" borderId="0" xfId="0" applyFont="1"/>
    <xf numFmtId="0" fontId="14" fillId="0" borderId="1" xfId="0" applyFont="1" applyBorder="1"/>
    <xf numFmtId="0" fontId="14" fillId="8" borderId="1" xfId="0" applyFont="1" applyFill="1" applyBorder="1"/>
    <xf numFmtId="165" fontId="14" fillId="7" borderId="1" xfId="2" applyFont="1" applyFill="1" applyBorder="1"/>
    <xf numFmtId="165" fontId="14" fillId="6" borderId="1" xfId="2" applyFont="1" applyFill="1" applyBorder="1"/>
    <xf numFmtId="165" fontId="14" fillId="5" borderId="1" xfId="2" applyFont="1" applyFill="1" applyBorder="1"/>
    <xf numFmtId="2" fontId="14" fillId="23" borderId="1" xfId="0" applyNumberFormat="1" applyFont="1" applyFill="1" applyBorder="1"/>
    <xf numFmtId="2" fontId="14" fillId="10" borderId="1" xfId="0" applyNumberFormat="1" applyFont="1" applyFill="1" applyBorder="1"/>
    <xf numFmtId="0" fontId="14" fillId="9" borderId="1" xfId="0" applyFont="1" applyFill="1" applyBorder="1"/>
    <xf numFmtId="0" fontId="15" fillId="0" borderId="3" xfId="1" applyNumberFormat="1" applyFont="1" applyBorder="1"/>
    <xf numFmtId="0" fontId="16" fillId="32" borderId="3" xfId="0" applyFont="1" applyFill="1" applyBorder="1"/>
    <xf numFmtId="0" fontId="17" fillId="0" borderId="1" xfId="0" applyFont="1" applyBorder="1"/>
    <xf numFmtId="0" fontId="16" fillId="0" borderId="3" xfId="0" applyFont="1" applyBorder="1"/>
    <xf numFmtId="166" fontId="0" fillId="0" borderId="0" xfId="0" applyNumberFormat="1"/>
    <xf numFmtId="0" fontId="11" fillId="0" borderId="0" xfId="0" applyFont="1"/>
    <xf numFmtId="0" fontId="0" fillId="33" borderId="0" xfId="0" applyFill="1"/>
    <xf numFmtId="166" fontId="0" fillId="33" borderId="0" xfId="0" applyNumberFormat="1" applyFill="1"/>
    <xf numFmtId="0" fontId="0" fillId="0" borderId="1" xfId="0" applyFont="1" applyBorder="1"/>
    <xf numFmtId="0" fontId="18" fillId="0" borderId="1" xfId="0" applyFont="1" applyBorder="1"/>
    <xf numFmtId="0" fontId="18" fillId="8" borderId="1" xfId="0" applyFont="1" applyFill="1" applyBorder="1"/>
    <xf numFmtId="166" fontId="18" fillId="7" borderId="1" xfId="0" applyNumberFormat="1" applyFont="1" applyFill="1" applyBorder="1"/>
    <xf numFmtId="166" fontId="18" fillId="6" borderId="1" xfId="0" applyNumberFormat="1" applyFont="1" applyFill="1" applyBorder="1"/>
    <xf numFmtId="166" fontId="18" fillId="5" borderId="1" xfId="0" applyNumberFormat="1" applyFont="1" applyFill="1" applyBorder="1"/>
    <xf numFmtId="166" fontId="18" fillId="23" borderId="1" xfId="0" applyNumberFormat="1" applyFont="1" applyFill="1" applyBorder="1"/>
    <xf numFmtId="166" fontId="18" fillId="3" borderId="1" xfId="0" applyNumberFormat="1" applyFont="1" applyFill="1" applyBorder="1"/>
    <xf numFmtId="0" fontId="18" fillId="9" borderId="1" xfId="0" applyFont="1" applyFill="1" applyBorder="1"/>
    <xf numFmtId="171" fontId="18" fillId="24" borderId="1" xfId="0" applyNumberFormat="1" applyFont="1" applyFill="1" applyBorder="1"/>
    <xf numFmtId="2" fontId="18" fillId="10" borderId="1" xfId="0" applyNumberFormat="1" applyFont="1" applyFill="1" applyBorder="1"/>
    <xf numFmtId="9" fontId="19" fillId="15" borderId="1" xfId="0" applyNumberFormat="1" applyFont="1" applyFill="1" applyBorder="1"/>
    <xf numFmtId="165" fontId="20" fillId="7" borderId="0" xfId="2" applyFont="1" applyFill="1"/>
    <xf numFmtId="166" fontId="20" fillId="21" borderId="2" xfId="0" applyNumberFormat="1" applyFont="1" applyFill="1" applyBorder="1"/>
    <xf numFmtId="166" fontId="20" fillId="20" borderId="2" xfId="0" applyNumberFormat="1" applyFont="1" applyFill="1" applyBorder="1"/>
    <xf numFmtId="166" fontId="20" fillId="19" borderId="2" xfId="0" applyNumberFormat="1" applyFont="1" applyFill="1" applyBorder="1"/>
    <xf numFmtId="166" fontId="20" fillId="16" borderId="2" xfId="0" applyNumberFormat="1" applyFont="1" applyFill="1" applyBorder="1"/>
    <xf numFmtId="9" fontId="19" fillId="18" borderId="0" xfId="0" applyNumberFormat="1" applyFont="1" applyFill="1" applyBorder="1"/>
    <xf numFmtId="165" fontId="21" fillId="7" borderId="0" xfId="2" applyFont="1" applyFill="1"/>
    <xf numFmtId="167" fontId="20" fillId="21" borderId="5" xfId="0" applyNumberFormat="1" applyFont="1" applyFill="1" applyBorder="1"/>
    <xf numFmtId="167" fontId="20" fillId="20" borderId="5" xfId="0" applyNumberFormat="1" applyFont="1" applyFill="1" applyBorder="1"/>
    <xf numFmtId="167" fontId="20" fillId="19" borderId="5" xfId="0" applyNumberFormat="1" applyFont="1" applyFill="1" applyBorder="1"/>
    <xf numFmtId="167" fontId="20" fillId="16" borderId="5" xfId="0" applyNumberFormat="1" applyFont="1" applyFill="1" applyBorder="1"/>
    <xf numFmtId="166" fontId="18" fillId="10" borderId="1" xfId="0" applyNumberFormat="1" applyFont="1" applyFill="1" applyBorder="1"/>
    <xf numFmtId="0" fontId="22" fillId="0" borderId="1" xfId="0" applyFont="1" applyBorder="1"/>
    <xf numFmtId="0" fontId="23" fillId="0" borderId="0" xfId="0" applyFont="1"/>
    <xf numFmtId="0" fontId="22" fillId="0" borderId="3" xfId="0" applyFont="1" applyBorder="1" applyAlignment="1">
      <alignment vertical="center" wrapText="1"/>
    </xf>
    <xf numFmtId="0" fontId="23" fillId="0" borderId="1" xfId="0" applyFont="1" applyBorder="1"/>
    <xf numFmtId="0" fontId="24" fillId="0" borderId="1" xfId="0" applyFont="1" applyBorder="1" applyAlignment="1">
      <alignment horizontal="left"/>
    </xf>
    <xf numFmtId="0" fontId="25" fillId="0" borderId="0" xfId="0" applyFont="1"/>
    <xf numFmtId="0" fontId="24" fillId="0" borderId="3" xfId="0" applyFont="1" applyBorder="1" applyAlignment="1">
      <alignment vertical="center" wrapText="1"/>
    </xf>
    <xf numFmtId="0" fontId="24" fillId="0" borderId="1" xfId="0" applyFont="1" applyBorder="1"/>
    <xf numFmtId="0" fontId="24" fillId="0" borderId="3" xfId="0" applyFont="1" applyBorder="1" applyAlignment="1">
      <alignment horizontal="left" vertical="center" wrapText="1"/>
    </xf>
    <xf numFmtId="171" fontId="18" fillId="7" borderId="1" xfId="0" applyNumberFormat="1" applyFont="1" applyFill="1" applyBorder="1"/>
    <xf numFmtId="0" fontId="18" fillId="6" borderId="1" xfId="0" applyFont="1" applyFill="1" applyBorder="1"/>
    <xf numFmtId="0" fontId="18" fillId="5" borderId="1" xfId="0" applyFont="1" applyFill="1" applyBorder="1"/>
    <xf numFmtId="2" fontId="18" fillId="23" borderId="1" xfId="0" applyNumberFormat="1" applyFont="1" applyFill="1" applyBorder="1"/>
    <xf numFmtId="0" fontId="18" fillId="7" borderId="1" xfId="0" applyFont="1" applyFill="1" applyBorder="1"/>
    <xf numFmtId="0" fontId="9" fillId="25" borderId="1" xfId="0" applyFont="1" applyFill="1" applyBorder="1" applyAlignment="1">
      <alignment horizontal="center"/>
    </xf>
  </cellXfs>
  <cellStyles count="8">
    <cellStyle name="Comma" xfId="1" builtinId="3"/>
    <cellStyle name="Comma0" xfId="4"/>
    <cellStyle name="Currency" xfId="2" builtinId="4"/>
    <cellStyle name="Currency0" xfId="5"/>
    <cellStyle name="Date" xfId="6"/>
    <cellStyle name="Fixed" xfId="7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33CC"/>
      <color rgb="FF5EEB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view="pageLayout" topLeftCell="P1" zoomScaleNormal="100" workbookViewId="0">
      <selection activeCell="Q23" sqref="Q23"/>
    </sheetView>
  </sheetViews>
  <sheetFormatPr defaultRowHeight="13.2" x14ac:dyDescent="0.25"/>
  <cols>
    <col min="1" max="1" width="27.5546875" customWidth="1"/>
    <col min="2" max="2" width="22" customWidth="1"/>
    <col min="3" max="3" width="25.5546875" customWidth="1"/>
    <col min="4" max="4" width="24.5546875" customWidth="1"/>
    <col min="5" max="5" width="24.88671875" customWidth="1"/>
    <col min="6" max="7" width="24.44140625" customWidth="1"/>
    <col min="8" max="8" width="1.109375" customWidth="1"/>
    <col min="9" max="9" width="23" style="1" customWidth="1"/>
    <col min="10" max="10" width="23.109375" customWidth="1"/>
    <col min="11" max="11" width="25.33203125" customWidth="1"/>
    <col min="12" max="12" width="25.44140625" customWidth="1"/>
    <col min="13" max="14" width="24.44140625" customWidth="1"/>
    <col min="15" max="15" width="1" customWidth="1"/>
    <col min="16" max="16" width="21.88671875" style="1" customWidth="1"/>
    <col min="17" max="17" width="25" customWidth="1"/>
    <col min="18" max="18" width="26.5546875" customWidth="1"/>
    <col min="19" max="19" width="25.33203125" customWidth="1"/>
    <col min="20" max="21" width="24.44140625" customWidth="1"/>
    <col min="22" max="22" width="0.77734375" customWidth="1"/>
    <col min="23" max="23" width="22.77734375" style="1" customWidth="1"/>
    <col min="24" max="24" width="23.88671875" customWidth="1"/>
    <col min="25" max="25" width="24.88671875" customWidth="1"/>
    <col min="26" max="26" width="25.6640625" customWidth="1"/>
    <col min="27" max="28" width="24.44140625" customWidth="1"/>
  </cols>
  <sheetData>
    <row r="1" spans="1:28" ht="22.8" x14ac:dyDescent="0.4">
      <c r="A1" s="63"/>
      <c r="B1" s="189" t="s">
        <v>18</v>
      </c>
      <c r="C1" s="190"/>
      <c r="D1" s="190"/>
      <c r="H1" s="88"/>
      <c r="I1" s="193" t="s">
        <v>17</v>
      </c>
      <c r="J1" s="194"/>
      <c r="K1" s="63"/>
      <c r="L1" s="63"/>
      <c r="O1" s="88"/>
      <c r="P1" s="193" t="s">
        <v>16</v>
      </c>
      <c r="R1" s="63"/>
      <c r="S1" s="63"/>
      <c r="V1" s="88"/>
      <c r="W1" s="196" t="s">
        <v>15</v>
      </c>
      <c r="Y1" s="63"/>
      <c r="Z1" s="63"/>
    </row>
    <row r="2" spans="1:28" ht="15.6" customHeight="1" x14ac:dyDescent="0.4">
      <c r="A2" s="157" t="s">
        <v>37</v>
      </c>
      <c r="B2" s="191" t="s">
        <v>36</v>
      </c>
      <c r="C2" s="192"/>
      <c r="D2" s="192"/>
      <c r="H2" s="88"/>
      <c r="I2" s="195" t="s">
        <v>21</v>
      </c>
      <c r="J2" s="194"/>
      <c r="K2" s="77"/>
      <c r="L2" s="77"/>
      <c r="O2" s="88"/>
      <c r="P2" s="197" t="s">
        <v>20</v>
      </c>
      <c r="R2" s="77"/>
      <c r="S2" s="77"/>
      <c r="V2" s="88"/>
      <c r="W2" s="195" t="s">
        <v>19</v>
      </c>
      <c r="Y2" s="77"/>
      <c r="Z2" s="77"/>
    </row>
    <row r="3" spans="1:28" x14ac:dyDescent="0.25">
      <c r="A3" s="165" t="s">
        <v>31</v>
      </c>
      <c r="C3" s="126">
        <v>0.04</v>
      </c>
      <c r="D3" s="126">
        <v>0.02</v>
      </c>
      <c r="E3" s="126">
        <v>0.02</v>
      </c>
      <c r="F3" s="126">
        <v>0.02</v>
      </c>
      <c r="G3" s="126">
        <v>0.02</v>
      </c>
      <c r="H3" s="129"/>
      <c r="I3" s="143"/>
      <c r="J3" s="126">
        <v>0.04</v>
      </c>
      <c r="K3" s="126">
        <v>0.02</v>
      </c>
      <c r="L3" s="126">
        <v>0.02</v>
      </c>
      <c r="M3" s="126">
        <v>0.02</v>
      </c>
      <c r="N3" s="126">
        <v>0.02</v>
      </c>
      <c r="O3" s="129"/>
      <c r="P3" s="143"/>
      <c r="Q3" s="126">
        <v>0.04</v>
      </c>
      <c r="R3" s="126">
        <v>0.02</v>
      </c>
      <c r="S3" s="126">
        <v>0.02</v>
      </c>
      <c r="T3" s="126">
        <v>0.02</v>
      </c>
      <c r="U3" s="126">
        <v>0.02</v>
      </c>
      <c r="V3" s="129"/>
      <c r="W3" s="143"/>
      <c r="X3" s="126">
        <v>0.04</v>
      </c>
      <c r="Y3" s="126">
        <v>0.02</v>
      </c>
      <c r="Z3" s="126">
        <v>0.02</v>
      </c>
      <c r="AA3" s="126">
        <v>0.02</v>
      </c>
      <c r="AB3" s="126">
        <v>0.02</v>
      </c>
    </row>
    <row r="4" spans="1:28" ht="15.6" x14ac:dyDescent="0.3">
      <c r="B4" s="83" t="s">
        <v>13</v>
      </c>
      <c r="C4" s="82" t="s">
        <v>12</v>
      </c>
      <c r="D4" s="81" t="s">
        <v>11</v>
      </c>
      <c r="E4" s="80" t="s">
        <v>10</v>
      </c>
      <c r="F4" s="79" t="s">
        <v>35</v>
      </c>
      <c r="G4" s="78" t="s">
        <v>34</v>
      </c>
      <c r="H4" s="84"/>
      <c r="I4" s="83" t="s">
        <v>13</v>
      </c>
      <c r="J4" s="82" t="s">
        <v>12</v>
      </c>
      <c r="K4" s="81" t="s">
        <v>11</v>
      </c>
      <c r="L4" s="80" t="s">
        <v>10</v>
      </c>
      <c r="M4" s="79" t="s">
        <v>35</v>
      </c>
      <c r="N4" s="78" t="s">
        <v>34</v>
      </c>
      <c r="O4" s="84"/>
      <c r="P4" s="83" t="s">
        <v>13</v>
      </c>
      <c r="Q4" s="82" t="s">
        <v>12</v>
      </c>
      <c r="R4" s="81" t="s">
        <v>11</v>
      </c>
      <c r="S4" s="80" t="s">
        <v>10</v>
      </c>
      <c r="T4" s="79" t="s">
        <v>35</v>
      </c>
      <c r="U4" s="78" t="s">
        <v>34</v>
      </c>
      <c r="V4" s="84"/>
      <c r="W4" s="83" t="s">
        <v>13</v>
      </c>
      <c r="X4" s="82" t="s">
        <v>12</v>
      </c>
      <c r="Y4" s="81" t="s">
        <v>11</v>
      </c>
      <c r="Z4" s="80" t="s">
        <v>10</v>
      </c>
      <c r="AA4" s="79" t="s">
        <v>35</v>
      </c>
      <c r="AB4" s="78" t="s">
        <v>34</v>
      </c>
    </row>
    <row r="5" spans="1:28" ht="15" x14ac:dyDescent="0.25">
      <c r="A5" s="77" t="s">
        <v>8</v>
      </c>
      <c r="B5" s="76">
        <v>9.5</v>
      </c>
      <c r="C5" s="68">
        <f>+B5*$C$3+B5</f>
        <v>9.8800000000000008</v>
      </c>
      <c r="D5" s="75">
        <f>+C5*D3+C5</f>
        <v>10.0776</v>
      </c>
      <c r="E5" s="74">
        <f>+D5*E3+D5</f>
        <v>10.279152</v>
      </c>
      <c r="F5" s="73">
        <f>+E5*F3+E5</f>
        <v>10.48473504</v>
      </c>
      <c r="G5" s="72">
        <f>+F5*G3+F5</f>
        <v>10.6944297408</v>
      </c>
      <c r="H5" s="142"/>
      <c r="I5" s="76">
        <v>9.5</v>
      </c>
      <c r="J5" s="94">
        <f>+$B$5*J3+$B$5</f>
        <v>9.8800000000000008</v>
      </c>
      <c r="K5" s="75">
        <f>+J5*K3+J5</f>
        <v>10.0776</v>
      </c>
      <c r="L5" s="74">
        <f>+K5*L3+K5</f>
        <v>10.279152</v>
      </c>
      <c r="M5" s="73">
        <f>+L5*M3+L5</f>
        <v>10.48473504</v>
      </c>
      <c r="N5" s="72">
        <f>+M5*N3+M5</f>
        <v>10.6944297408</v>
      </c>
      <c r="O5" s="142"/>
      <c r="P5" s="76">
        <v>9.5</v>
      </c>
      <c r="Q5" s="94">
        <f>+$B$5*Q3+$B$5</f>
        <v>9.8800000000000008</v>
      </c>
      <c r="R5" s="75">
        <f>+Q5*R3+Q5</f>
        <v>10.0776</v>
      </c>
      <c r="S5" s="74">
        <f>+R5*S3+R5</f>
        <v>10.279152</v>
      </c>
      <c r="T5" s="73">
        <f>+S5*T3+S5</f>
        <v>10.48473504</v>
      </c>
      <c r="U5" s="72">
        <f>+T5*U3+T5</f>
        <v>10.6944297408</v>
      </c>
      <c r="V5" s="142"/>
      <c r="W5" s="76">
        <v>9.5</v>
      </c>
      <c r="X5" s="94">
        <f>+$B$5*X3+$B$5</f>
        <v>9.8800000000000008</v>
      </c>
      <c r="Y5" s="75">
        <f>+X5*Y3+X5</f>
        <v>10.0776</v>
      </c>
      <c r="Z5" s="74">
        <f>+Y5*Z3+Y5</f>
        <v>10.279152</v>
      </c>
      <c r="AA5" s="73">
        <f>+Z5*AA3+Z5</f>
        <v>10.48473504</v>
      </c>
      <c r="AB5" s="72">
        <f>+AA5*AB3+AA5</f>
        <v>10.6944297408</v>
      </c>
    </row>
    <row r="6" spans="1:28" ht="15.6" thickBot="1" x14ac:dyDescent="0.3">
      <c r="A6" s="71" t="s">
        <v>7</v>
      </c>
      <c r="B6" s="76">
        <v>1.9</v>
      </c>
      <c r="C6" s="68">
        <v>1.98</v>
      </c>
      <c r="D6" s="67">
        <v>2.02</v>
      </c>
      <c r="E6" s="66">
        <v>2.06</v>
      </c>
      <c r="F6" s="73">
        <v>2.1</v>
      </c>
      <c r="G6" s="72">
        <v>2.14</v>
      </c>
      <c r="H6" s="142"/>
      <c r="I6" s="76">
        <v>1.9</v>
      </c>
      <c r="J6" s="68">
        <v>1.98</v>
      </c>
      <c r="K6" s="67">
        <v>2.02</v>
      </c>
      <c r="L6" s="66">
        <v>2.06</v>
      </c>
      <c r="M6" s="73">
        <v>2.1</v>
      </c>
      <c r="N6" s="72">
        <v>2.14</v>
      </c>
      <c r="O6" s="142"/>
      <c r="P6" s="76">
        <v>1.9</v>
      </c>
      <c r="Q6" s="68">
        <v>1.98</v>
      </c>
      <c r="R6" s="67">
        <v>2.02</v>
      </c>
      <c r="S6" s="66">
        <v>2.06</v>
      </c>
      <c r="T6" s="73">
        <v>2.1</v>
      </c>
      <c r="U6" s="72">
        <v>2.14</v>
      </c>
      <c r="V6" s="142"/>
      <c r="W6" s="76">
        <v>1.9</v>
      </c>
      <c r="X6" s="68">
        <v>1.98</v>
      </c>
      <c r="Y6" s="67">
        <v>2.02</v>
      </c>
      <c r="Z6" s="66">
        <v>2.06</v>
      </c>
      <c r="AA6" s="73">
        <v>2.1</v>
      </c>
      <c r="AB6" s="72">
        <v>2.14</v>
      </c>
    </row>
    <row r="7" spans="1:28" ht="15" x14ac:dyDescent="0.25">
      <c r="A7" s="119" t="s">
        <v>30</v>
      </c>
      <c r="B7" s="57">
        <f>+(9.5) +((3)*B6)</f>
        <v>15.2</v>
      </c>
      <c r="C7" s="61">
        <f>+(C5) +((3)*(C6))</f>
        <v>15.82</v>
      </c>
      <c r="D7" s="60">
        <f>+(D5) +((3)*(D6))</f>
        <v>16.137599999999999</v>
      </c>
      <c r="E7" s="59">
        <f>+(E5) +((3)*(E6))</f>
        <v>16.459152</v>
      </c>
      <c r="F7" s="53">
        <f>+(F5) +((3)*(F6))</f>
        <v>16.784735040000001</v>
      </c>
      <c r="G7" s="52">
        <f>+(G5) +((3)*(G6))</f>
        <v>17.114429740799999</v>
      </c>
      <c r="H7" s="58"/>
      <c r="I7" s="57">
        <f>+I5+(I6*6)</f>
        <v>20.9</v>
      </c>
      <c r="J7" s="61">
        <f>+(J5) +((6)*(J6))</f>
        <v>21.759999999999998</v>
      </c>
      <c r="K7" s="60">
        <f>+(K5) +((6)*(K6))</f>
        <v>22.197600000000001</v>
      </c>
      <c r="L7" s="59">
        <f>+(L5) +((6)*(L6))</f>
        <v>22.639151999999999</v>
      </c>
      <c r="M7" s="53">
        <f>+(M5) +((6)*(M6))</f>
        <v>23.084735040000002</v>
      </c>
      <c r="N7" s="52">
        <f>+(N5) +((6)*(N6))</f>
        <v>23.5344297408</v>
      </c>
      <c r="O7" s="58"/>
      <c r="P7" s="57">
        <f>+(9.5) +((10)*P6)</f>
        <v>28.5</v>
      </c>
      <c r="Q7" s="61">
        <f>+(Q5) +((10)*(Q6))</f>
        <v>29.68</v>
      </c>
      <c r="R7" s="60">
        <f>+(R5) +((10)*(R6))</f>
        <v>30.2776</v>
      </c>
      <c r="S7" s="59">
        <f>+(S5) +((10)*(S6))</f>
        <v>30.879152000000001</v>
      </c>
      <c r="T7" s="53">
        <f>+(T5) +((10)*(T6))</f>
        <v>31.48473504</v>
      </c>
      <c r="U7" s="52">
        <f>+(U5) +((10)*(U6))</f>
        <v>32.094429740800003</v>
      </c>
      <c r="V7" s="58"/>
      <c r="W7" s="57">
        <f>+(9.5) +((15)*W6)</f>
        <v>38</v>
      </c>
      <c r="X7" s="61">
        <f>+(X5) +((15)*(X6))</f>
        <v>39.58</v>
      </c>
      <c r="Y7" s="60">
        <f>+(Y5) +((15)*(Y6))</f>
        <v>40.377600000000001</v>
      </c>
      <c r="Z7" s="59">
        <f>+(Z5) +((15)*(Z6))</f>
        <v>41.179152000000002</v>
      </c>
      <c r="AA7" s="53">
        <f>+(AA5) +((15)*(AA6))</f>
        <v>41.984735040000004</v>
      </c>
      <c r="AB7" s="52">
        <f>+(AB5) +((15)*(AB6))</f>
        <v>42.794429740799998</v>
      </c>
    </row>
    <row r="8" spans="1:28" ht="15" x14ac:dyDescent="0.25">
      <c r="A8" s="62" t="s">
        <v>5</v>
      </c>
      <c r="B8" s="57">
        <f t="shared" ref="B8:G8" si="0">B7*0.06</f>
        <v>0.91199999999999992</v>
      </c>
      <c r="C8" s="56">
        <f t="shared" si="0"/>
        <v>0.94919999999999993</v>
      </c>
      <c r="D8" s="55">
        <f t="shared" si="0"/>
        <v>0.96825599999999989</v>
      </c>
      <c r="E8" s="54">
        <f t="shared" si="0"/>
        <v>0.98754911999999995</v>
      </c>
      <c r="F8" s="53">
        <f t="shared" si="0"/>
        <v>1.0070841024000001</v>
      </c>
      <c r="G8" s="52">
        <f t="shared" si="0"/>
        <v>1.0268657844479998</v>
      </c>
      <c r="H8" s="58"/>
      <c r="I8" s="57">
        <f>+I7*6%</f>
        <v>1.2539999999999998</v>
      </c>
      <c r="J8" s="56">
        <f>J7*0.06</f>
        <v>1.3055999999999999</v>
      </c>
      <c r="K8" s="55">
        <f>K7*0.06</f>
        <v>1.3318559999999999</v>
      </c>
      <c r="L8" s="54">
        <f>L7*0.06</f>
        <v>1.35834912</v>
      </c>
      <c r="M8" s="53">
        <f>M7*0.06</f>
        <v>1.3850841024</v>
      </c>
      <c r="N8" s="52">
        <f>N7*0.06</f>
        <v>1.412065784448</v>
      </c>
      <c r="O8" s="58"/>
      <c r="P8" s="57">
        <f t="shared" ref="P8:U8" si="1">P7*0.06</f>
        <v>1.71</v>
      </c>
      <c r="Q8" s="56">
        <f t="shared" si="1"/>
        <v>1.7807999999999999</v>
      </c>
      <c r="R8" s="55">
        <f t="shared" si="1"/>
        <v>1.8166559999999998</v>
      </c>
      <c r="S8" s="54">
        <f t="shared" si="1"/>
        <v>1.8527491199999999</v>
      </c>
      <c r="T8" s="53">
        <f t="shared" si="1"/>
        <v>1.8890841024</v>
      </c>
      <c r="U8" s="52">
        <f t="shared" si="1"/>
        <v>1.9256657844480001</v>
      </c>
      <c r="V8" s="58"/>
      <c r="W8" s="57">
        <f t="shared" ref="W8:AB8" si="2">W7*0.06</f>
        <v>2.2799999999999998</v>
      </c>
      <c r="X8" s="56">
        <f t="shared" si="2"/>
        <v>2.3748</v>
      </c>
      <c r="Y8" s="55">
        <f t="shared" si="2"/>
        <v>2.4226559999999999</v>
      </c>
      <c r="Z8" s="54">
        <f t="shared" si="2"/>
        <v>2.4707491200000002</v>
      </c>
      <c r="AA8" s="53">
        <f t="shared" si="2"/>
        <v>2.5190841024000004</v>
      </c>
      <c r="AB8" s="52">
        <f t="shared" si="2"/>
        <v>2.5676657844479998</v>
      </c>
    </row>
    <row r="9" spans="1:28" ht="15.6" x14ac:dyDescent="0.3">
      <c r="A9" s="157" t="s">
        <v>4</v>
      </c>
      <c r="B9" s="46">
        <f t="shared" ref="B9:G9" si="3">SUM(B7:B8)</f>
        <v>16.111999999999998</v>
      </c>
      <c r="C9" s="45">
        <f t="shared" si="3"/>
        <v>16.769200000000001</v>
      </c>
      <c r="D9" s="44">
        <f t="shared" si="3"/>
        <v>17.105855999999999</v>
      </c>
      <c r="E9" s="43">
        <f t="shared" si="3"/>
        <v>17.44670112</v>
      </c>
      <c r="F9" s="42">
        <f t="shared" si="3"/>
        <v>17.791819142400001</v>
      </c>
      <c r="G9" s="41">
        <f t="shared" si="3"/>
        <v>18.141295525247997</v>
      </c>
      <c r="H9" s="47"/>
      <c r="I9" s="46">
        <f>+I7+I8</f>
        <v>22.154</v>
      </c>
      <c r="J9" s="45">
        <f>SUM(J7:J8)</f>
        <v>23.065599999999996</v>
      </c>
      <c r="K9" s="44">
        <f>SUM(K7:K8)</f>
        <v>23.529456</v>
      </c>
      <c r="L9" s="43">
        <f>SUM(L7:L8)</f>
        <v>23.997501119999999</v>
      </c>
      <c r="M9" s="42">
        <f>SUM(M7:M8)</f>
        <v>24.469819142400002</v>
      </c>
      <c r="N9" s="41">
        <f>SUM(N7:N8)</f>
        <v>24.946495525248</v>
      </c>
      <c r="O9" s="47"/>
      <c r="P9" s="46">
        <f t="shared" ref="P9:U9" si="4">SUM(P7:P8)</f>
        <v>30.21</v>
      </c>
      <c r="Q9" s="45">
        <f t="shared" si="4"/>
        <v>31.460799999999999</v>
      </c>
      <c r="R9" s="44">
        <f t="shared" si="4"/>
        <v>32.094256000000001</v>
      </c>
      <c r="S9" s="43">
        <f t="shared" si="4"/>
        <v>32.731901120000003</v>
      </c>
      <c r="T9" s="42">
        <f t="shared" si="4"/>
        <v>33.373819142400002</v>
      </c>
      <c r="U9" s="41">
        <f t="shared" si="4"/>
        <v>34.020095525248003</v>
      </c>
      <c r="V9" s="47"/>
      <c r="W9" s="46">
        <f t="shared" ref="W9:AB9" si="5">SUM(W7:W8)</f>
        <v>40.28</v>
      </c>
      <c r="X9" s="45">
        <f t="shared" si="5"/>
        <v>41.954799999999999</v>
      </c>
      <c r="Y9" s="44">
        <f t="shared" si="5"/>
        <v>42.800256000000005</v>
      </c>
      <c r="Z9" s="43">
        <f t="shared" si="5"/>
        <v>43.649901120000003</v>
      </c>
      <c r="AA9" s="42">
        <f t="shared" si="5"/>
        <v>44.503819142400005</v>
      </c>
      <c r="AB9" s="41">
        <f t="shared" si="5"/>
        <v>45.362095525247994</v>
      </c>
    </row>
    <row r="10" spans="1:28" ht="15.6" x14ac:dyDescent="0.3">
      <c r="A10" s="40" t="s">
        <v>3</v>
      </c>
      <c r="B10" s="33"/>
      <c r="C10" s="32">
        <f>(C9-B9)/B9</f>
        <v>4.0789473684210723E-2</v>
      </c>
      <c r="D10" s="31">
        <f>(D9-C9)/C9</f>
        <v>2.0075853350189504E-2</v>
      </c>
      <c r="E10" s="30">
        <f>(E9-D9)/D9</f>
        <v>1.9925639500297496E-2</v>
      </c>
      <c r="F10" s="39">
        <f>(F9-E9)/E9</f>
        <v>1.9781276702469309E-2</v>
      </c>
      <c r="G10" s="38">
        <f>(G9-F9)/F9</f>
        <v>1.9642532337525435E-2</v>
      </c>
      <c r="H10" s="34"/>
      <c r="I10" s="33"/>
      <c r="J10" s="139">
        <f>+(((J9)-((J7-J5+$B$5)+((J7-J5+$B$5)*6%)))/((J7-J5+$B$5)+((J7-J5+$B$5)*6%)))</f>
        <v>1.7773620205799937E-2</v>
      </c>
      <c r="K10" s="138">
        <f>(K9-J9)/J9</f>
        <v>2.0110294117647209E-2</v>
      </c>
      <c r="L10" s="137">
        <f>(L9-K9)/K9</f>
        <v>1.989188020326519E-2</v>
      </c>
      <c r="M10" s="136">
        <f>(M9-L9)/L9</f>
        <v>1.9681966886392347E-2</v>
      </c>
      <c r="N10" s="135">
        <f>(N9-M9)/M9</f>
        <v>1.9480175969998837E-2</v>
      </c>
      <c r="O10" s="140"/>
      <c r="P10" s="33"/>
      <c r="Q10" s="141">
        <f>+(((Q9)-((Q7-Q5+$B$5)+((Q7-Q5+$B$5)*6%)))/((Q7-Q5+$B$5)+((Q7-Q5+$B$5)*6%)))</f>
        <v>1.29692832764506E-2</v>
      </c>
      <c r="R10" s="138">
        <f>(R9-Q9)/Q9</f>
        <v>2.0134770889487948E-2</v>
      </c>
      <c r="S10" s="137">
        <f>(S9-R9)/R9</f>
        <v>1.9867889132560105E-2</v>
      </c>
      <c r="T10" s="136">
        <f>(T9-S9)/S9</f>
        <v>1.9611388292010052E-2</v>
      </c>
      <c r="U10" s="135">
        <f>(U9-T9)/T9</f>
        <v>1.9364771532153907E-2</v>
      </c>
      <c r="V10" s="140"/>
      <c r="W10" s="33"/>
      <c r="X10" s="139">
        <f>+(((X9)-((X7-X5+$B$5)+((X7-X5+$B$5)*6%)))/((X7-X5+$B$5)+((X7-X5+$B$5)*6%)))</f>
        <v>9.6938775510205608E-3</v>
      </c>
      <c r="Y10" s="138">
        <f>(Y9-X9)/X9</f>
        <v>2.0151591712986496E-2</v>
      </c>
      <c r="Z10" s="137">
        <f>(Z9-Y9)/Y9</f>
        <v>1.9851402757964768E-2</v>
      </c>
      <c r="AA10" s="136">
        <f>(AA9-Z9)/Z9</f>
        <v>1.9562885607746411E-2</v>
      </c>
      <c r="AB10" s="135">
        <f>(AB9-AA9)/AA9</f>
        <v>1.9285454583161526E-2</v>
      </c>
    </row>
    <row r="11" spans="1:28" ht="15.6" x14ac:dyDescent="0.3">
      <c r="A11" s="62" t="s">
        <v>33</v>
      </c>
      <c r="B11" s="176"/>
      <c r="C11" s="177">
        <f>+C9-B9</f>
        <v>0.65720000000000312</v>
      </c>
      <c r="D11" s="178">
        <f>+D9-C9</f>
        <v>0.33665599999999785</v>
      </c>
      <c r="E11" s="179">
        <f>+E9-D9</f>
        <v>0.34084512000000089</v>
      </c>
      <c r="F11" s="180">
        <f>+F9-E9</f>
        <v>0.34511802240000122</v>
      </c>
      <c r="G11" s="181">
        <f>+G9-F9</f>
        <v>0.34947638284799609</v>
      </c>
      <c r="H11" s="182"/>
      <c r="I11" s="176"/>
      <c r="J11" s="183">
        <f>+((J9)-(((B5)+(6*B6))+(((B5)+(6*B6))*6%)))</f>
        <v>0.91159999999999641</v>
      </c>
      <c r="K11" s="184">
        <f>+K9-J9</f>
        <v>0.46385600000000338</v>
      </c>
      <c r="L11" s="185">
        <f>+L9-K9</f>
        <v>0.46804511999999932</v>
      </c>
      <c r="M11" s="186">
        <f>+M9-L9</f>
        <v>0.4723180224000032</v>
      </c>
      <c r="N11" s="187">
        <f>+N9-M9</f>
        <v>0.47667638284799807</v>
      </c>
      <c r="O11" s="182"/>
      <c r="P11" s="176"/>
      <c r="Q11" s="183">
        <f>+((Q9)-(((B5)+(10*B6))+(((B5)+(10*B6))*6%)))</f>
        <v>1.2507999999999981</v>
      </c>
      <c r="R11" s="184">
        <f>+R9-Q9</f>
        <v>0.63345600000000246</v>
      </c>
      <c r="S11" s="185">
        <f>+S9-R9</f>
        <v>0.63764512000000195</v>
      </c>
      <c r="T11" s="186">
        <f>+T9-S9</f>
        <v>0.64191802239999873</v>
      </c>
      <c r="U11" s="187">
        <f>+U9-T9</f>
        <v>0.64627638284800071</v>
      </c>
      <c r="V11" s="182"/>
      <c r="W11" s="176"/>
      <c r="X11" s="183">
        <f>+((X9)-(((B5)+(15*B6))+(((B5)+(15*B6))*6%)))</f>
        <v>1.6747999999999976</v>
      </c>
      <c r="Y11" s="184">
        <f>+Y9-X9</f>
        <v>0.84545600000000576</v>
      </c>
      <c r="Z11" s="185">
        <f>+Z9-Y9</f>
        <v>0.84964511999999814</v>
      </c>
      <c r="AA11" s="186">
        <f>+AA9-Z9</f>
        <v>0.85391802240000203</v>
      </c>
      <c r="AB11" s="187">
        <f>+AB9-AA9</f>
        <v>0.85827638284798979</v>
      </c>
    </row>
    <row r="12" spans="1:28" ht="15.6" x14ac:dyDescent="0.3">
      <c r="A12" s="158" t="s">
        <v>32</v>
      </c>
      <c r="B12" s="133"/>
      <c r="C12" s="132"/>
      <c r="D12" s="132"/>
      <c r="E12" s="132"/>
      <c r="F12" s="131"/>
      <c r="G12" s="131"/>
      <c r="H12" s="134"/>
      <c r="I12" s="133"/>
      <c r="J12" s="126"/>
      <c r="K12" s="132"/>
      <c r="L12" s="132"/>
      <c r="M12" s="131"/>
      <c r="N12" s="131"/>
      <c r="O12" s="134"/>
      <c r="P12" s="133"/>
      <c r="Q12" s="132"/>
      <c r="R12" s="132"/>
      <c r="S12" s="132"/>
      <c r="T12" s="131"/>
      <c r="U12" s="131"/>
      <c r="V12" s="134"/>
      <c r="W12" s="133"/>
      <c r="X12" s="132"/>
      <c r="Y12" s="132"/>
      <c r="Z12" s="132"/>
      <c r="AA12" s="131"/>
      <c r="AB12" s="131"/>
    </row>
    <row r="13" spans="1:28" s="1" customFormat="1" ht="15.6" x14ac:dyDescent="0.3">
      <c r="A13" s="130" t="s">
        <v>31</v>
      </c>
      <c r="B13" s="128"/>
      <c r="C13" s="127">
        <v>9.5000000000000001E-2</v>
      </c>
      <c r="D13" s="127">
        <v>9.5000000000000001E-2</v>
      </c>
      <c r="E13" s="127">
        <v>9.5000000000000001E-2</v>
      </c>
      <c r="F13" s="126">
        <v>8.5000000000000006E-2</v>
      </c>
      <c r="G13" s="126">
        <v>0.02</v>
      </c>
      <c r="H13" s="129"/>
      <c r="I13" s="128"/>
      <c r="J13" s="127">
        <v>9.5000000000000001E-2</v>
      </c>
      <c r="K13" s="127">
        <v>9.5000000000000001E-2</v>
      </c>
      <c r="L13" s="127">
        <v>9.5000000000000001E-2</v>
      </c>
      <c r="M13" s="126">
        <v>8.5000000000000006E-2</v>
      </c>
      <c r="N13" s="126">
        <v>0.02</v>
      </c>
      <c r="O13" s="129"/>
      <c r="P13" s="128"/>
      <c r="Q13" s="127">
        <v>9.5000000000000001E-2</v>
      </c>
      <c r="R13" s="127">
        <v>9.5000000000000001E-2</v>
      </c>
      <c r="S13" s="127">
        <v>9.5000000000000001E-2</v>
      </c>
      <c r="T13" s="126">
        <v>8.5000000000000006E-2</v>
      </c>
      <c r="U13" s="126">
        <v>0.02</v>
      </c>
      <c r="V13" s="129"/>
      <c r="W13" s="128"/>
      <c r="X13" s="127">
        <v>9.5000000000000001E-2</v>
      </c>
      <c r="Y13" s="127">
        <v>9.5000000000000001E-2</v>
      </c>
      <c r="Z13" s="127">
        <v>9.5000000000000001E-2</v>
      </c>
      <c r="AA13" s="126">
        <v>8.5000000000000006E-2</v>
      </c>
      <c r="AB13" s="126">
        <v>0.02</v>
      </c>
    </row>
    <row r="14" spans="1:28" ht="15.6" x14ac:dyDescent="0.3">
      <c r="A14" s="77" t="s">
        <v>8</v>
      </c>
      <c r="B14" s="25">
        <v>38.5</v>
      </c>
      <c r="C14" s="124">
        <f>+($B$14*C13)+$B$14</f>
        <v>42.157499999999999</v>
      </c>
      <c r="D14" s="123">
        <f>+(C14*D13)+C14</f>
        <v>46.162462499999997</v>
      </c>
      <c r="E14" s="122">
        <f>+(D14*E13)+D14</f>
        <v>50.547896437499993</v>
      </c>
      <c r="F14" s="121">
        <f>+(E14*F13)+E14</f>
        <v>54.84446763468749</v>
      </c>
      <c r="G14" s="120">
        <f>+(F14*G13)+F14</f>
        <v>55.941356987381241</v>
      </c>
      <c r="H14" s="125"/>
      <c r="I14" s="25">
        <v>38.5</v>
      </c>
      <c r="J14" s="124">
        <f>+($B$14*J13)+$B$14</f>
        <v>42.157499999999999</v>
      </c>
      <c r="K14" s="123">
        <f>+(J14*K13)+J14</f>
        <v>46.162462499999997</v>
      </c>
      <c r="L14" s="122">
        <f>+(K14*L13)+K14</f>
        <v>50.547896437499993</v>
      </c>
      <c r="M14" s="121">
        <f>+(L14*M13)+L14</f>
        <v>54.84446763468749</v>
      </c>
      <c r="N14" s="120">
        <f>+(M14*N13)+M14</f>
        <v>55.941356987381241</v>
      </c>
      <c r="O14" s="125"/>
      <c r="P14" s="25">
        <v>38.5</v>
      </c>
      <c r="Q14" s="124">
        <f>+($B$14*Q13)+$B$14</f>
        <v>42.157499999999999</v>
      </c>
      <c r="R14" s="123">
        <f>+(Q14*R13)+Q14</f>
        <v>46.162462499999997</v>
      </c>
      <c r="S14" s="122">
        <f>+(R14*S13)+R14</f>
        <v>50.547896437499993</v>
      </c>
      <c r="T14" s="121">
        <f>+(S14*T13)+S14</f>
        <v>54.84446763468749</v>
      </c>
      <c r="U14" s="120">
        <f>+(T14*U13)+T14</f>
        <v>55.941356987381241</v>
      </c>
      <c r="V14" s="125"/>
      <c r="W14" s="25">
        <v>38.5</v>
      </c>
      <c r="X14" s="124">
        <f>+($B$14*X13)+$B$14</f>
        <v>42.157499999999999</v>
      </c>
      <c r="Y14" s="123">
        <f>+(X14*Y13)+X14</f>
        <v>46.162462499999997</v>
      </c>
      <c r="Z14" s="122">
        <f>+(Y14*Z13)+Y14</f>
        <v>50.547896437499993</v>
      </c>
      <c r="AA14" s="121">
        <f>+(Z14*AA13)+Z14</f>
        <v>54.84446763468749</v>
      </c>
      <c r="AB14" s="120">
        <f>+(AA14*AB13)+AA14</f>
        <v>55.941356987381241</v>
      </c>
    </row>
    <row r="15" spans="1:28" ht="15.6" thickBot="1" x14ac:dyDescent="0.3">
      <c r="A15" s="71" t="s">
        <v>7</v>
      </c>
      <c r="B15" s="13">
        <v>6</v>
      </c>
      <c r="C15" s="68">
        <v>6.57</v>
      </c>
      <c r="D15" s="67">
        <v>7.19</v>
      </c>
      <c r="E15" s="66">
        <v>7.87</v>
      </c>
      <c r="F15" s="65">
        <v>8.5399999999999991</v>
      </c>
      <c r="G15" s="64">
        <v>8.7100000000000009</v>
      </c>
      <c r="H15" s="70"/>
      <c r="I15" s="13">
        <v>6</v>
      </c>
      <c r="J15" s="68">
        <v>6.57</v>
      </c>
      <c r="K15" s="67">
        <v>7.19</v>
      </c>
      <c r="L15" s="66">
        <v>7.87</v>
      </c>
      <c r="M15" s="65">
        <v>8.5399999999999991</v>
      </c>
      <c r="N15" s="64">
        <v>8.7100000000000009</v>
      </c>
      <c r="O15" s="70"/>
      <c r="P15" s="13">
        <v>6</v>
      </c>
      <c r="Q15" s="68">
        <v>6.57</v>
      </c>
      <c r="R15" s="67">
        <v>7.19</v>
      </c>
      <c r="S15" s="66">
        <v>7.87</v>
      </c>
      <c r="T15" s="65">
        <v>8.5399999999999991</v>
      </c>
      <c r="U15" s="64">
        <v>8.7100000000000009</v>
      </c>
      <c r="V15" s="70"/>
      <c r="W15" s="13">
        <v>6</v>
      </c>
      <c r="X15" s="68">
        <v>6.57</v>
      </c>
      <c r="Y15" s="67">
        <v>7.19</v>
      </c>
      <c r="Z15" s="66">
        <v>7.87</v>
      </c>
      <c r="AA15" s="65">
        <v>8.5399999999999991</v>
      </c>
      <c r="AB15" s="64">
        <v>8.7100000000000009</v>
      </c>
    </row>
    <row r="16" spans="1:28" ht="15" x14ac:dyDescent="0.25">
      <c r="A16" s="119" t="s">
        <v>30</v>
      </c>
      <c r="B16" s="117">
        <f>+(B14)+((3)*B15)</f>
        <v>56.5</v>
      </c>
      <c r="C16" s="61">
        <f>+(C14)+((3)*(C15))</f>
        <v>61.8675</v>
      </c>
      <c r="D16" s="60">
        <f>+(D14)+((3)*(D15))</f>
        <v>67.732462499999997</v>
      </c>
      <c r="E16" s="59">
        <f>+(E14)+((3)*(E15))</f>
        <v>74.1578964375</v>
      </c>
      <c r="F16" s="116">
        <f>+(F14)+((3)*(F15))</f>
        <v>80.46446763468748</v>
      </c>
      <c r="G16" s="115">
        <f>+(G14)+((3)*(G15))</f>
        <v>82.07135698738125</v>
      </c>
      <c r="H16" s="118"/>
      <c r="I16" s="117">
        <f>+I14+(I15*6)</f>
        <v>74.5</v>
      </c>
      <c r="J16" s="61">
        <f>+(J14)+((6)*(J15))</f>
        <v>81.577500000000001</v>
      </c>
      <c r="K16" s="60">
        <f>+(K14)+((6)*(K15))</f>
        <v>89.30246249999999</v>
      </c>
      <c r="L16" s="59">
        <f>+(L14)+((6)*(L15))</f>
        <v>97.767896437499985</v>
      </c>
      <c r="M16" s="116">
        <f>+(M14)+((6)*(M15))</f>
        <v>106.08446763468748</v>
      </c>
      <c r="N16" s="115">
        <f>+(N14)+((6)*(N15))</f>
        <v>108.20135698738125</v>
      </c>
      <c r="O16" s="118"/>
      <c r="P16" s="117">
        <f>+(P14)+((10)*P15)</f>
        <v>98.5</v>
      </c>
      <c r="Q16" s="61">
        <f>+(Q14)+((10)*(Q15))</f>
        <v>107.8575</v>
      </c>
      <c r="R16" s="60">
        <f>+(R14)+((10)*(R15))</f>
        <v>118.06246250000001</v>
      </c>
      <c r="S16" s="59">
        <f>+(S14)+((10)*(S15))</f>
        <v>129.2478964375</v>
      </c>
      <c r="T16" s="116">
        <f>+(T14)+((10)*(T15))</f>
        <v>140.24446763468748</v>
      </c>
      <c r="U16" s="115">
        <f>+(U14)+((10)*(U15))</f>
        <v>143.04135698738125</v>
      </c>
      <c r="V16" s="118"/>
      <c r="W16" s="117">
        <f>+(W14)+((15)*W15)</f>
        <v>128.5</v>
      </c>
      <c r="X16" s="61">
        <f>+(X14)+((15)*(X15))</f>
        <v>140.70750000000001</v>
      </c>
      <c r="Y16" s="60">
        <f>+(Y14)+((15)*(Y15))</f>
        <v>154.0124625</v>
      </c>
      <c r="Z16" s="59">
        <f>+(Z14)+((15)*(Z15))</f>
        <v>168.5978964375</v>
      </c>
      <c r="AA16" s="116">
        <f>+(AA14)+((15)*(AA15))</f>
        <v>182.9444676346875</v>
      </c>
      <c r="AB16" s="115">
        <f>+(AB14)+((15)*(AB15))</f>
        <v>186.59135698738123</v>
      </c>
    </row>
    <row r="17" spans="1:28" ht="15" x14ac:dyDescent="0.25">
      <c r="A17" s="114" t="s">
        <v>5</v>
      </c>
      <c r="B17" s="57">
        <f t="shared" ref="B17:G17" si="6">B16*0.06</f>
        <v>3.3899999999999997</v>
      </c>
      <c r="C17" s="56">
        <f t="shared" si="6"/>
        <v>3.7120499999999996</v>
      </c>
      <c r="D17" s="55">
        <f t="shared" si="6"/>
        <v>4.0639477499999996</v>
      </c>
      <c r="E17" s="54">
        <f t="shared" si="6"/>
        <v>4.4494737862499996</v>
      </c>
      <c r="F17" s="53">
        <f t="shared" si="6"/>
        <v>4.8278680580812487</v>
      </c>
      <c r="G17" s="52">
        <f t="shared" si="6"/>
        <v>4.9242814192428748</v>
      </c>
      <c r="H17" s="58"/>
      <c r="I17" s="57">
        <f>+I16*6%</f>
        <v>4.47</v>
      </c>
      <c r="J17" s="56">
        <f>J16*0.06</f>
        <v>4.8946499999999995</v>
      </c>
      <c r="K17" s="55">
        <f>K16*0.06</f>
        <v>5.3581477499999988</v>
      </c>
      <c r="L17" s="54">
        <f>L16*0.06</f>
        <v>5.8660737862499985</v>
      </c>
      <c r="M17" s="53">
        <f>M16*0.06</f>
        <v>6.3650680580812491</v>
      </c>
      <c r="N17" s="52">
        <f>N16*0.06</f>
        <v>6.4920814192428749</v>
      </c>
      <c r="O17" s="58"/>
      <c r="P17" s="57">
        <f t="shared" ref="P17:U17" si="7">P16*0.06</f>
        <v>5.91</v>
      </c>
      <c r="Q17" s="56">
        <f t="shared" si="7"/>
        <v>6.4714499999999999</v>
      </c>
      <c r="R17" s="55">
        <f t="shared" si="7"/>
        <v>7.0837477500000006</v>
      </c>
      <c r="S17" s="54">
        <f t="shared" si="7"/>
        <v>7.7548737862500001</v>
      </c>
      <c r="T17" s="53">
        <f t="shared" si="7"/>
        <v>8.414668058081249</v>
      </c>
      <c r="U17" s="52">
        <f t="shared" si="7"/>
        <v>8.5824814192428747</v>
      </c>
      <c r="V17" s="58"/>
      <c r="W17" s="57">
        <f t="shared" ref="W17:AB17" si="8">W16*0.06</f>
        <v>7.71</v>
      </c>
      <c r="X17" s="56">
        <f t="shared" si="8"/>
        <v>8.4424500000000009</v>
      </c>
      <c r="Y17" s="55">
        <f t="shared" si="8"/>
        <v>9.2407477499999988</v>
      </c>
      <c r="Z17" s="54">
        <f t="shared" si="8"/>
        <v>10.115873786249999</v>
      </c>
      <c r="AA17" s="53">
        <f t="shared" si="8"/>
        <v>10.97666805808125</v>
      </c>
      <c r="AB17" s="52">
        <f t="shared" si="8"/>
        <v>11.195481419242874</v>
      </c>
    </row>
    <row r="18" spans="1:28" ht="15.6" x14ac:dyDescent="0.3">
      <c r="A18" s="160" t="s">
        <v>29</v>
      </c>
      <c r="B18" s="46">
        <f t="shared" ref="B18:G18" si="9">SUM(B16:B17)</f>
        <v>59.89</v>
      </c>
      <c r="C18" s="45">
        <f t="shared" si="9"/>
        <v>65.579549999999998</v>
      </c>
      <c r="D18" s="44">
        <f t="shared" si="9"/>
        <v>71.796410249999994</v>
      </c>
      <c r="E18" s="43">
        <f t="shared" si="9"/>
        <v>78.607370223749996</v>
      </c>
      <c r="F18" s="42">
        <f t="shared" si="9"/>
        <v>85.292335692768731</v>
      </c>
      <c r="G18" s="41">
        <f t="shared" si="9"/>
        <v>86.995638406624124</v>
      </c>
      <c r="H18" s="47"/>
      <c r="I18" s="46">
        <f>+I16+I17</f>
        <v>78.97</v>
      </c>
      <c r="J18" s="45">
        <f>SUM(J16:J17)</f>
        <v>86.472149999999999</v>
      </c>
      <c r="K18" s="44">
        <f>SUM(K16:K17)</f>
        <v>94.660610249999991</v>
      </c>
      <c r="L18" s="43">
        <f>SUM(L16:L17)</f>
        <v>103.63397022374998</v>
      </c>
      <c r="M18" s="42">
        <f>SUM(M16:M17)</f>
        <v>112.44953569276873</v>
      </c>
      <c r="N18" s="41">
        <f>SUM(N16:N17)</f>
        <v>114.69343840662413</v>
      </c>
      <c r="O18" s="47"/>
      <c r="P18" s="46">
        <f t="shared" ref="P18:U18" si="10">SUM(P16:P17)</f>
        <v>104.41</v>
      </c>
      <c r="Q18" s="45">
        <f t="shared" si="10"/>
        <v>114.32895000000001</v>
      </c>
      <c r="R18" s="44">
        <f t="shared" si="10"/>
        <v>125.14621025000001</v>
      </c>
      <c r="S18" s="43">
        <f t="shared" si="10"/>
        <v>137.00277022374999</v>
      </c>
      <c r="T18" s="42">
        <f t="shared" si="10"/>
        <v>148.65913569276873</v>
      </c>
      <c r="U18" s="41">
        <f t="shared" si="10"/>
        <v>151.62383840662412</v>
      </c>
      <c r="V18" s="47"/>
      <c r="W18" s="46">
        <f t="shared" ref="W18:AB18" si="11">SUM(W16:W17)</f>
        <v>136.21</v>
      </c>
      <c r="X18" s="45">
        <f t="shared" si="11"/>
        <v>149.14995000000002</v>
      </c>
      <c r="Y18" s="44">
        <f t="shared" si="11"/>
        <v>163.25321025</v>
      </c>
      <c r="Z18" s="43">
        <f t="shared" si="11"/>
        <v>178.71377022375</v>
      </c>
      <c r="AA18" s="42">
        <f t="shared" si="11"/>
        <v>193.92113569276876</v>
      </c>
      <c r="AB18" s="41">
        <f t="shared" si="11"/>
        <v>197.7868384066241</v>
      </c>
    </row>
    <row r="19" spans="1:28" ht="15" x14ac:dyDescent="0.25">
      <c r="A19" s="77" t="s">
        <v>28</v>
      </c>
      <c r="B19" s="13"/>
      <c r="C19" s="32">
        <f>(C18-$B$18)/$B$18</f>
        <v>9.4999999999999946E-2</v>
      </c>
      <c r="D19" s="31">
        <f>(D18-C18)/C18</f>
        <v>9.4798763486483154E-2</v>
      </c>
      <c r="E19" s="30">
        <f>(E18-D18)/D18</f>
        <v>9.4864909680494824E-2</v>
      </c>
      <c r="F19" s="106">
        <f>(F18-E18)/E18</f>
        <v>8.504247693302143E-2</v>
      </c>
      <c r="G19" s="107">
        <f>(G18-F18)/F18</f>
        <v>1.9970173169965178E-2</v>
      </c>
      <c r="H19" s="70"/>
      <c r="I19" s="13"/>
      <c r="J19" s="37">
        <f>+(J18-((($B$14)+($B$15*6))+((($B$14)+($B$15*6))*6%)))/((($B$14)+($B$15*6))+((($B$14)+($B$15*6))*6%))</f>
        <v>9.5000000000000001E-2</v>
      </c>
      <c r="K19" s="31">
        <f>(K18-J18)/J18</f>
        <v>9.469476877815565E-2</v>
      </c>
      <c r="L19" s="30">
        <f>(L18-K18)/K18</f>
        <v>9.4795078439186317E-2</v>
      </c>
      <c r="M19" s="113">
        <f>(M18-L18)/L18</f>
        <v>8.5064438330265488E-2</v>
      </c>
      <c r="N19" s="112">
        <f>(N18-M18)/M18</f>
        <v>1.9954753036829916E-2</v>
      </c>
      <c r="O19" s="70"/>
      <c r="P19" s="87"/>
      <c r="Q19" s="32">
        <f>+(Q18-((($B$14)+($B$15*10))+((($B$14)+($B$15*10))*6%)))/((($B$14)+($B$15*10))+((($B$14)+($B$15*10))*6%))</f>
        <v>9.5000000000000098E-2</v>
      </c>
      <c r="R19" s="31">
        <f>(R18-Q18)/Q18</f>
        <v>9.4615233062142201E-2</v>
      </c>
      <c r="S19" s="30">
        <f>(S18-R18)/R18</f>
        <v>9.4741662173105881E-2</v>
      </c>
      <c r="T19" s="111">
        <f>(T18-S18)/S18</f>
        <v>8.5081239233205361E-2</v>
      </c>
      <c r="U19" s="110">
        <f>(U18-T18)/T18</f>
        <v>1.9942956751628691E-2</v>
      </c>
      <c r="V19" s="70"/>
      <c r="W19" s="13"/>
      <c r="X19" s="32">
        <f>+(X18-((($B$14)+($B$15*15))+((($B$14)+($B$15*15))*6%)))/((($B$14)+($B$15*15))+((($B$14)+($B$15*15))*6%))</f>
        <v>9.500000000000007E-2</v>
      </c>
      <c r="Y19" s="31">
        <f>(Y18-X18)/X18</f>
        <v>9.4557592878844243E-2</v>
      </c>
      <c r="Z19" s="30">
        <f>(Z18-Y18)/Y18</f>
        <v>9.4702946117104059E-2</v>
      </c>
      <c r="AA19" s="111">
        <f>(AA18-Z18)/Z18</f>
        <v>8.5093417535644297E-2</v>
      </c>
      <c r="AB19" s="110">
        <f>(AB18-AA18)/AA18</f>
        <v>1.9934406324743345E-2</v>
      </c>
    </row>
    <row r="20" spans="1:28" ht="15" x14ac:dyDescent="0.25">
      <c r="A20" s="166" t="s">
        <v>52</v>
      </c>
      <c r="B20" s="167"/>
      <c r="C20" s="168">
        <f>+C18-B18</f>
        <v>5.689549999999997</v>
      </c>
      <c r="D20" s="169">
        <f t="shared" ref="D20:G20" si="12">+D18-C18</f>
        <v>6.2168602499999963</v>
      </c>
      <c r="E20" s="170">
        <f t="shared" si="12"/>
        <v>6.810959973750002</v>
      </c>
      <c r="F20" s="171">
        <f t="shared" si="12"/>
        <v>6.684965469018735</v>
      </c>
      <c r="G20" s="172">
        <f t="shared" si="12"/>
        <v>1.7033027138553933</v>
      </c>
      <c r="H20" s="173"/>
      <c r="I20" s="167"/>
      <c r="J20" s="168">
        <f>+J18-I18</f>
        <v>7.5021500000000003</v>
      </c>
      <c r="K20" s="169">
        <f t="shared" ref="K20:N20" si="13">+K18-J18</f>
        <v>8.1884602499999914</v>
      </c>
      <c r="L20" s="170">
        <f t="shared" si="13"/>
        <v>8.9733599737499929</v>
      </c>
      <c r="M20" s="171">
        <f t="shared" si="13"/>
        <v>8.8155654690187504</v>
      </c>
      <c r="N20" s="172">
        <f t="shared" si="13"/>
        <v>2.2439027138553911</v>
      </c>
      <c r="O20" s="173"/>
      <c r="P20" s="174"/>
      <c r="Q20" s="168">
        <f t="shared" ref="Q20:U20" si="14">+Q18-P18</f>
        <v>9.9189500000000095</v>
      </c>
      <c r="R20" s="169">
        <f t="shared" si="14"/>
        <v>10.817260250000004</v>
      </c>
      <c r="S20" s="170">
        <f t="shared" si="14"/>
        <v>11.856559973749981</v>
      </c>
      <c r="T20" s="171">
        <f t="shared" si="14"/>
        <v>11.656365469018738</v>
      </c>
      <c r="U20" s="172">
        <f t="shared" si="14"/>
        <v>2.9647027138553881</v>
      </c>
      <c r="V20" s="173"/>
      <c r="W20" s="167"/>
      <c r="X20" s="168">
        <f t="shared" ref="X20:AB20" si="15">+X18-W18</f>
        <v>12.93995000000001</v>
      </c>
      <c r="Y20" s="169">
        <f t="shared" si="15"/>
        <v>14.103260249999977</v>
      </c>
      <c r="Z20" s="170">
        <f t="shared" si="15"/>
        <v>15.460559973750009</v>
      </c>
      <c r="AA20" s="171">
        <f t="shared" si="15"/>
        <v>15.207365469018754</v>
      </c>
      <c r="AB20" s="188">
        <f t="shared" si="15"/>
        <v>3.8657027138553417</v>
      </c>
    </row>
    <row r="21" spans="1:28" ht="15.6" x14ac:dyDescent="0.3">
      <c r="A21" s="159" t="s">
        <v>27</v>
      </c>
      <c r="B21" s="108">
        <f t="shared" ref="B21:G21" si="16">B9+B18</f>
        <v>76.001999999999995</v>
      </c>
      <c r="C21" s="97">
        <f t="shared" si="16"/>
        <v>82.348749999999995</v>
      </c>
      <c r="D21" s="96">
        <f t="shared" si="16"/>
        <v>88.902266249999997</v>
      </c>
      <c r="E21" s="95">
        <f t="shared" si="16"/>
        <v>96.054071343749996</v>
      </c>
      <c r="F21" s="73">
        <f t="shared" si="16"/>
        <v>103.08415483516873</v>
      </c>
      <c r="G21" s="72">
        <f t="shared" si="16"/>
        <v>105.13693393187212</v>
      </c>
      <c r="H21" s="109"/>
      <c r="I21" s="108">
        <f>+I9+I18</f>
        <v>101.124</v>
      </c>
      <c r="J21" s="97">
        <f>J9+J18</f>
        <v>109.53774999999999</v>
      </c>
      <c r="K21" s="96">
        <f>K9+K18</f>
        <v>118.19006624999999</v>
      </c>
      <c r="L21" s="95">
        <f>L9+L18</f>
        <v>127.63147134374998</v>
      </c>
      <c r="M21" s="73">
        <f>M9+M18</f>
        <v>136.91935483516875</v>
      </c>
      <c r="N21" s="72">
        <f>N9+N18</f>
        <v>139.63993393187212</v>
      </c>
      <c r="O21" s="109"/>
      <c r="P21" s="108">
        <f t="shared" ref="P21:U21" si="17">P9+P18</f>
        <v>134.62</v>
      </c>
      <c r="Q21" s="97">
        <f t="shared" si="17"/>
        <v>145.78975</v>
      </c>
      <c r="R21" s="96">
        <f t="shared" si="17"/>
        <v>157.24046625</v>
      </c>
      <c r="S21" s="95">
        <f t="shared" si="17"/>
        <v>169.73467134374999</v>
      </c>
      <c r="T21" s="73">
        <f t="shared" si="17"/>
        <v>182.03295483516874</v>
      </c>
      <c r="U21" s="72">
        <f t="shared" si="17"/>
        <v>185.64393393187211</v>
      </c>
      <c r="V21" s="109"/>
      <c r="W21" s="108">
        <f t="shared" ref="W21:AB21" si="18">W9+W18</f>
        <v>176.49</v>
      </c>
      <c r="X21" s="97">
        <f t="shared" si="18"/>
        <v>191.10475000000002</v>
      </c>
      <c r="Y21" s="96">
        <f t="shared" si="18"/>
        <v>206.05346624999999</v>
      </c>
      <c r="Z21" s="95">
        <f t="shared" si="18"/>
        <v>222.36367134375001</v>
      </c>
      <c r="AA21" s="73">
        <f t="shared" si="18"/>
        <v>238.42495483516876</v>
      </c>
      <c r="AB21" s="72">
        <f t="shared" si="18"/>
        <v>243.14893393187208</v>
      </c>
    </row>
    <row r="22" spans="1:28" ht="15" x14ac:dyDescent="0.25">
      <c r="A22" s="77" t="s">
        <v>26</v>
      </c>
      <c r="B22" s="13"/>
      <c r="C22" s="32">
        <f>(C21-B21)/B21</f>
        <v>8.3507670850767088E-2</v>
      </c>
      <c r="D22" s="31">
        <f>(D21-C21)/C21</f>
        <v>7.9582461786001632E-2</v>
      </c>
      <c r="E22" s="30">
        <f>(E21-D21)/D21</f>
        <v>8.0445700603835837E-2</v>
      </c>
      <c r="F22" s="73">
        <f>(F21-E21)/E21</f>
        <v>7.3188813270184894E-2</v>
      </c>
      <c r="G22" s="72">
        <f>(G21-F21)/F21</f>
        <v>1.9913623970490686E-2</v>
      </c>
      <c r="H22" s="70"/>
      <c r="I22" s="13"/>
      <c r="J22" s="37">
        <f>+(J21-I21)/I21</f>
        <v>8.3202306079664501E-2</v>
      </c>
      <c r="K22" s="31">
        <f>(K21-J21)/J21</f>
        <v>7.8989355267932743E-2</v>
      </c>
      <c r="L22" s="30">
        <f>(L21-K21)/K21</f>
        <v>7.9883237173073274E-2</v>
      </c>
      <c r="M22" s="106">
        <f>(M21-L21)/L21</f>
        <v>7.2771107264004667E-2</v>
      </c>
      <c r="N22" s="107">
        <f>(N21-M21)/M21</f>
        <v>1.9869938037456878E-2</v>
      </c>
      <c r="O22" s="70"/>
      <c r="P22" s="13"/>
      <c r="Q22" s="32">
        <f>+(Q21-P21)/P21</f>
        <v>8.2972440944881834E-2</v>
      </c>
      <c r="R22" s="31">
        <f>(R21-Q21)/Q21</f>
        <v>7.8542670180859767E-2</v>
      </c>
      <c r="S22" s="30">
        <f>(S21-R21)/R21</f>
        <v>7.9459221863951948E-2</v>
      </c>
      <c r="T22" s="73">
        <f>(T21-S21)/S21</f>
        <v>7.24559301529622E-2</v>
      </c>
      <c r="U22" s="72">
        <f>(U21-T21)/T21</f>
        <v>1.9836952600001054E-2</v>
      </c>
      <c r="V22" s="70"/>
      <c r="W22" s="13"/>
      <c r="X22" s="32">
        <f>+(X21-W21)/W21</f>
        <v>8.2807807807807887E-2</v>
      </c>
      <c r="Y22" s="31">
        <f>(Y21-X21)/X21</f>
        <v>7.8222630520695904E-2</v>
      </c>
      <c r="Z22" s="30">
        <f>(Z21-Y21)/Y21</f>
        <v>7.915520855136321E-2</v>
      </c>
      <c r="AA22" s="106">
        <f>(AA21-Z21)/Z21</f>
        <v>7.2229799923521479E-2</v>
      </c>
      <c r="AB22" s="105">
        <f>(AB21-AA21)/AA21</f>
        <v>1.9813274579287072E-2</v>
      </c>
    </row>
    <row r="23" spans="1:28" ht="15" x14ac:dyDescent="0.25">
      <c r="A23" s="77"/>
      <c r="B23" s="13"/>
      <c r="C23" s="68"/>
      <c r="D23" s="67"/>
      <c r="E23" s="66"/>
      <c r="F23" s="73"/>
      <c r="G23" s="72"/>
      <c r="H23" s="70"/>
      <c r="I23" s="13"/>
      <c r="J23" s="68"/>
      <c r="K23" s="67"/>
      <c r="L23" s="66"/>
      <c r="M23" s="73"/>
      <c r="N23" s="72"/>
      <c r="O23" s="70"/>
      <c r="P23" s="13"/>
      <c r="Q23" s="68"/>
      <c r="R23" s="67"/>
      <c r="S23" s="66"/>
      <c r="T23" s="73"/>
      <c r="U23" s="72"/>
      <c r="V23" s="70"/>
      <c r="W23" s="13"/>
      <c r="X23" s="68"/>
      <c r="Y23" s="67"/>
      <c r="Z23" s="66"/>
      <c r="AA23" s="73"/>
      <c r="AB23" s="72"/>
    </row>
    <row r="24" spans="1:28" ht="15.6" x14ac:dyDescent="0.3">
      <c r="A24" s="104" t="s">
        <v>25</v>
      </c>
      <c r="B24" s="83"/>
      <c r="C24" s="102">
        <f>C21-B21</f>
        <v>6.3467500000000001</v>
      </c>
      <c r="D24" s="101">
        <f>D21-C21</f>
        <v>6.5535162500000013</v>
      </c>
      <c r="E24" s="100">
        <f>E21-D21</f>
        <v>7.1518050937499993</v>
      </c>
      <c r="F24" s="99">
        <f>F21-E21</f>
        <v>7.0300834914187362</v>
      </c>
      <c r="G24" s="98">
        <f>G21-F21</f>
        <v>2.0527790967033894</v>
      </c>
      <c r="H24" s="103"/>
      <c r="I24" s="83"/>
      <c r="J24" s="102">
        <f>+J21-I21</f>
        <v>8.4137499999999932</v>
      </c>
      <c r="K24" s="101">
        <f>K21-J21</f>
        <v>8.6523162499999984</v>
      </c>
      <c r="L24" s="100">
        <f>L21-K21</f>
        <v>9.4414050937499923</v>
      </c>
      <c r="M24" s="99">
        <f>M21-L21</f>
        <v>9.2878834914187678</v>
      </c>
      <c r="N24" s="98">
        <f>N21-M21</f>
        <v>2.7205790967033749</v>
      </c>
      <c r="O24" s="103"/>
      <c r="P24" s="83"/>
      <c r="Q24" s="102">
        <f>+Q21-P21</f>
        <v>11.169749999999993</v>
      </c>
      <c r="R24" s="101">
        <f>R21-Q21</f>
        <v>11.450716249999999</v>
      </c>
      <c r="S24" s="100">
        <f>S21-R21</f>
        <v>12.494205093749997</v>
      </c>
      <c r="T24" s="99">
        <f>T21-S21</f>
        <v>12.298283491418744</v>
      </c>
      <c r="U24" s="98">
        <f>U21-T21</f>
        <v>3.6109790967033746</v>
      </c>
      <c r="V24" s="103"/>
      <c r="W24" s="83"/>
      <c r="X24" s="102">
        <f>+X21-W21</f>
        <v>14.614750000000015</v>
      </c>
      <c r="Y24" s="101">
        <f>Y21-X21</f>
        <v>14.948716249999961</v>
      </c>
      <c r="Z24" s="100">
        <f>Z21-Y21</f>
        <v>16.310205093750028</v>
      </c>
      <c r="AA24" s="99">
        <f>AA21-Z21</f>
        <v>16.061283491418749</v>
      </c>
      <c r="AB24" s="98">
        <f>AB21-AA21</f>
        <v>4.7239790967033173</v>
      </c>
    </row>
    <row r="25" spans="1:28" ht="15" x14ac:dyDescent="0.25">
      <c r="A25" s="77"/>
      <c r="B25" s="13"/>
      <c r="C25" s="97"/>
      <c r="D25" s="96"/>
      <c r="E25" s="95"/>
      <c r="F25" s="73"/>
      <c r="G25" s="72"/>
      <c r="H25" s="70"/>
      <c r="I25" s="13"/>
      <c r="J25" s="97"/>
      <c r="K25" s="96"/>
      <c r="L25" s="95"/>
      <c r="M25" s="73"/>
      <c r="N25" s="72"/>
      <c r="O25" s="70"/>
      <c r="P25" s="13"/>
      <c r="Q25" s="97"/>
      <c r="R25" s="96"/>
      <c r="S25" s="95"/>
      <c r="T25" s="73"/>
      <c r="U25" s="72"/>
      <c r="V25" s="70"/>
      <c r="W25" s="13"/>
      <c r="X25" s="97"/>
      <c r="Y25" s="96"/>
      <c r="Z25" s="95"/>
      <c r="AA25" s="73"/>
      <c r="AB25" s="72"/>
    </row>
    <row r="26" spans="1:28" ht="15.6" x14ac:dyDescent="0.3">
      <c r="A26" s="149" t="s">
        <v>1</v>
      </c>
      <c r="B26" s="150"/>
      <c r="C26" s="151">
        <f>C24*6</f>
        <v>38.080500000000001</v>
      </c>
      <c r="D26" s="152">
        <f>D24*6</f>
        <v>39.321097500000008</v>
      </c>
      <c r="E26" s="153">
        <f>E24*6</f>
        <v>42.910830562499996</v>
      </c>
      <c r="F26" s="154">
        <f>F24*6</f>
        <v>42.180500948512417</v>
      </c>
      <c r="G26" s="155">
        <f>G24*6</f>
        <v>12.316674580220337</v>
      </c>
      <c r="H26" s="156"/>
      <c r="I26" s="150"/>
      <c r="J26" s="151">
        <f>J24*6</f>
        <v>50.482499999999959</v>
      </c>
      <c r="K26" s="152">
        <f>K24*6</f>
        <v>51.91389749999999</v>
      </c>
      <c r="L26" s="153">
        <f>L24*6</f>
        <v>56.648430562499954</v>
      </c>
      <c r="M26" s="154">
        <f>M24*6</f>
        <v>55.727300948512607</v>
      </c>
      <c r="N26" s="155">
        <f>N24*6</f>
        <v>16.32347458022025</v>
      </c>
      <c r="O26" s="156"/>
      <c r="P26" s="150"/>
      <c r="Q26" s="151">
        <f>Q24*6</f>
        <v>67.01849999999996</v>
      </c>
      <c r="R26" s="152">
        <f>R24*6</f>
        <v>68.704297499999996</v>
      </c>
      <c r="S26" s="153">
        <f>S24*6</f>
        <v>74.965230562499983</v>
      </c>
      <c r="T26" s="154">
        <f>T24*6</f>
        <v>73.789700948512461</v>
      </c>
      <c r="U26" s="155">
        <f>U24*6</f>
        <v>21.665874580220247</v>
      </c>
      <c r="V26" s="156"/>
      <c r="W26" s="150"/>
      <c r="X26" s="151">
        <f>X24*6</f>
        <v>87.68850000000009</v>
      </c>
      <c r="Y26" s="152">
        <f>Y24*6</f>
        <v>89.692297499999768</v>
      </c>
      <c r="Z26" s="153">
        <f>Z24*6</f>
        <v>97.861230562500168</v>
      </c>
      <c r="AA26" s="154">
        <f>AA24*6</f>
        <v>96.367700948512493</v>
      </c>
      <c r="AB26" s="155">
        <f>AB24*6</f>
        <v>28.343874580219904</v>
      </c>
    </row>
    <row r="27" spans="1:28" ht="15" x14ac:dyDescent="0.25">
      <c r="A27" s="77"/>
      <c r="B27" s="87"/>
      <c r="C27" s="68"/>
      <c r="D27" s="67"/>
      <c r="E27" s="66"/>
      <c r="F27" s="65"/>
      <c r="G27" s="64"/>
      <c r="H27" s="70"/>
      <c r="I27" s="87"/>
      <c r="J27" s="94"/>
      <c r="K27" s="67"/>
      <c r="L27" s="66"/>
      <c r="M27" s="65"/>
      <c r="N27" s="64"/>
      <c r="O27" s="70"/>
      <c r="P27" s="87"/>
      <c r="Q27" s="68"/>
      <c r="R27" s="67"/>
      <c r="S27" s="66"/>
      <c r="T27" s="65"/>
      <c r="U27" s="64"/>
      <c r="V27" s="70"/>
      <c r="W27" s="87"/>
      <c r="X27" s="68"/>
      <c r="Y27" s="67"/>
      <c r="Z27" s="66"/>
      <c r="AA27" s="65"/>
      <c r="AB27" s="64"/>
    </row>
    <row r="28" spans="1:28" ht="15.6" x14ac:dyDescent="0.3">
      <c r="A28" s="5" t="s">
        <v>0</v>
      </c>
      <c r="G28" s="4">
        <f>+(G21-B21)/B21</f>
        <v>0.3833443058323745</v>
      </c>
      <c r="J28" s="3"/>
      <c r="N28" s="4">
        <f>+(N21-I21)/I21</f>
        <v>0.38087826759099846</v>
      </c>
      <c r="Q28" s="3"/>
      <c r="U28" s="2">
        <f>+(U21-P21)/P21</f>
        <v>0.37902194274158452</v>
      </c>
      <c r="X28" s="3"/>
      <c r="AB28" s="2">
        <f>+(AB21-W21)/W21</f>
        <v>0.37769241278186905</v>
      </c>
    </row>
    <row r="29" spans="1:28" s="88" customFormat="1" ht="15" x14ac:dyDescent="0.25">
      <c r="A29" s="203" t="s">
        <v>24</v>
      </c>
      <c r="B29" s="93"/>
      <c r="C29" s="93"/>
      <c r="D29" s="93"/>
      <c r="E29" s="93"/>
      <c r="F29" s="93"/>
      <c r="G29" s="93"/>
      <c r="H29" s="93"/>
      <c r="I29" s="93"/>
      <c r="J29" s="93" t="s">
        <v>23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28" s="88" customFormat="1" ht="27.6" customHeight="1" x14ac:dyDescent="0.25">
      <c r="A30" s="203"/>
      <c r="B30" s="92"/>
      <c r="C30" s="93"/>
      <c r="D30" s="93"/>
      <c r="E30" s="93"/>
      <c r="F30" s="92"/>
      <c r="G30" s="92"/>
      <c r="H30" s="92"/>
      <c r="I30" s="92"/>
      <c r="J30" s="93"/>
      <c r="K30" s="93"/>
      <c r="L30" s="93"/>
      <c r="M30" s="92"/>
      <c r="N30" s="92"/>
      <c r="O30" s="92"/>
      <c r="P30" s="92"/>
      <c r="Q30" s="93"/>
      <c r="R30" s="93"/>
      <c r="S30" s="93"/>
      <c r="T30" s="92"/>
      <c r="U30" s="92"/>
      <c r="V30" s="92"/>
      <c r="W30" s="92"/>
      <c r="X30" s="93"/>
      <c r="Y30" s="93"/>
      <c r="Z30" s="93"/>
      <c r="AA30" s="92"/>
      <c r="AB30" s="92"/>
    </row>
    <row r="31" spans="1:28" s="88" customFormat="1" ht="13.8" customHeight="1" x14ac:dyDescent="0.25">
      <c r="A31" s="93"/>
      <c r="B31" s="92"/>
      <c r="C31" s="93"/>
      <c r="D31" s="93"/>
      <c r="E31" s="93"/>
      <c r="F31" s="92"/>
      <c r="G31" s="92"/>
      <c r="H31" s="92"/>
      <c r="I31" s="92"/>
      <c r="J31" s="93"/>
      <c r="K31" s="93"/>
      <c r="L31" s="93"/>
      <c r="M31" s="92"/>
      <c r="N31" s="92"/>
      <c r="O31" s="92"/>
      <c r="P31" s="92"/>
      <c r="Q31" s="93"/>
      <c r="R31" s="93"/>
      <c r="S31" s="93"/>
      <c r="T31" s="92"/>
      <c r="U31" s="92"/>
      <c r="V31" s="92"/>
      <c r="W31" s="92"/>
      <c r="X31" s="93"/>
      <c r="Y31" s="93"/>
      <c r="Z31" s="93"/>
      <c r="AA31" s="92"/>
      <c r="AB31" s="92"/>
    </row>
    <row r="32" spans="1:28" ht="26.4" customHeight="1" x14ac:dyDescent="0.25">
      <c r="B32" s="87"/>
      <c r="C32" s="91" t="s">
        <v>22</v>
      </c>
      <c r="D32" s="77"/>
      <c r="E32" s="77"/>
      <c r="G32" s="85"/>
      <c r="H32" s="88"/>
      <c r="I32" s="87"/>
      <c r="J32" s="90" t="s">
        <v>21</v>
      </c>
      <c r="K32" s="77"/>
      <c r="L32" s="77"/>
      <c r="N32" s="85"/>
      <c r="O32" s="88"/>
      <c r="P32" s="87"/>
      <c r="Q32" s="90" t="s">
        <v>20</v>
      </c>
      <c r="R32" s="77"/>
      <c r="S32" s="77"/>
      <c r="U32" s="85"/>
      <c r="V32" s="88"/>
      <c r="W32" s="87"/>
      <c r="X32" s="90" t="s">
        <v>19</v>
      </c>
      <c r="Y32" s="77"/>
      <c r="Z32" s="77"/>
      <c r="AB32" s="85"/>
    </row>
    <row r="33" spans="1:28" ht="16.5" customHeight="1" x14ac:dyDescent="0.3">
      <c r="A33" s="89"/>
      <c r="B33" s="87"/>
      <c r="C33" s="86" t="s">
        <v>18</v>
      </c>
      <c r="D33" s="77"/>
      <c r="E33" s="77"/>
      <c r="G33" s="85"/>
      <c r="H33" s="88"/>
      <c r="I33" s="87"/>
      <c r="J33" s="86" t="s">
        <v>17</v>
      </c>
      <c r="K33" s="77"/>
      <c r="L33" s="77"/>
      <c r="N33" s="85"/>
      <c r="O33" s="88"/>
      <c r="P33" s="87"/>
      <c r="Q33" s="86" t="s">
        <v>16</v>
      </c>
      <c r="R33" s="77"/>
      <c r="S33" s="77"/>
      <c r="U33" s="85"/>
      <c r="V33" s="88"/>
      <c r="W33" s="87"/>
      <c r="X33" s="86" t="s">
        <v>15</v>
      </c>
      <c r="Y33" s="77"/>
      <c r="Z33" s="77"/>
      <c r="AB33" s="85"/>
    </row>
    <row r="34" spans="1:28" ht="15.6" x14ac:dyDescent="0.3">
      <c r="A34" s="157" t="s">
        <v>14</v>
      </c>
      <c r="B34" s="83" t="s">
        <v>13</v>
      </c>
      <c r="C34" s="82" t="s">
        <v>12</v>
      </c>
      <c r="D34" s="81" t="s">
        <v>11</v>
      </c>
      <c r="E34" s="80" t="s">
        <v>10</v>
      </c>
      <c r="F34" s="79" t="s">
        <v>9</v>
      </c>
      <c r="G34" s="78"/>
      <c r="H34" s="84"/>
      <c r="I34" s="83" t="s">
        <v>13</v>
      </c>
      <c r="J34" s="82" t="s">
        <v>12</v>
      </c>
      <c r="K34" s="81" t="s">
        <v>11</v>
      </c>
      <c r="L34" s="80" t="s">
        <v>10</v>
      </c>
      <c r="M34" s="79" t="s">
        <v>9</v>
      </c>
      <c r="N34" s="78"/>
      <c r="O34" s="84"/>
      <c r="P34" s="83" t="s">
        <v>13</v>
      </c>
      <c r="Q34" s="82" t="s">
        <v>12</v>
      </c>
      <c r="R34" s="81" t="s">
        <v>11</v>
      </c>
      <c r="S34" s="80" t="s">
        <v>10</v>
      </c>
      <c r="T34" s="79" t="s">
        <v>9</v>
      </c>
      <c r="U34" s="78"/>
      <c r="V34" s="84"/>
      <c r="W34" s="83" t="s">
        <v>13</v>
      </c>
      <c r="X34" s="82" t="s">
        <v>12</v>
      </c>
      <c r="Y34" s="81" t="s">
        <v>11</v>
      </c>
      <c r="Z34" s="80" t="s">
        <v>10</v>
      </c>
      <c r="AA34" s="79" t="s">
        <v>9</v>
      </c>
      <c r="AB34" s="78"/>
    </row>
    <row r="35" spans="1:28" ht="15" x14ac:dyDescent="0.25">
      <c r="A35" s="77" t="s">
        <v>8</v>
      </c>
      <c r="B35" s="76">
        <f t="shared" ref="B35:G35" si="19">+B5*185%</f>
        <v>17.574999999999999</v>
      </c>
      <c r="C35" s="68">
        <f t="shared" si="19"/>
        <v>18.278000000000002</v>
      </c>
      <c r="D35" s="67">
        <f t="shared" si="19"/>
        <v>18.643560000000001</v>
      </c>
      <c r="E35" s="74">
        <f t="shared" si="19"/>
        <v>19.0164312</v>
      </c>
      <c r="F35" s="73">
        <f t="shared" si="19"/>
        <v>19.396759824</v>
      </c>
      <c r="G35" s="72">
        <f t="shared" si="19"/>
        <v>19.784695020480001</v>
      </c>
      <c r="H35" s="70"/>
      <c r="I35" s="76">
        <v>17.574999999999999</v>
      </c>
      <c r="J35" s="68">
        <f>+$B$35*$C$3+$B$35</f>
        <v>18.277999999999999</v>
      </c>
      <c r="K35" s="75">
        <f>+K5*185%</f>
        <v>18.643560000000001</v>
      </c>
      <c r="L35" s="74">
        <f>+L5*185%</f>
        <v>19.0164312</v>
      </c>
      <c r="M35" s="73">
        <f>+M5*185%</f>
        <v>19.396759824</v>
      </c>
      <c r="N35" s="72">
        <f>+N5*185%</f>
        <v>19.784695020480001</v>
      </c>
      <c r="O35" s="70"/>
      <c r="P35" s="76">
        <f>+P5*185%</f>
        <v>17.574999999999999</v>
      </c>
      <c r="Q35" s="68">
        <f>+$B$35*$C$3+$B$35</f>
        <v>18.277999999999999</v>
      </c>
      <c r="R35" s="75">
        <f>+R5*185%</f>
        <v>18.643560000000001</v>
      </c>
      <c r="S35" s="74">
        <f>+S5*185%</f>
        <v>19.0164312</v>
      </c>
      <c r="T35" s="73">
        <f>+T5*185%</f>
        <v>19.396759824</v>
      </c>
      <c r="U35" s="72">
        <f>+U5*185%</f>
        <v>19.784695020480001</v>
      </c>
      <c r="V35" s="70"/>
      <c r="W35" s="76">
        <f>+W5*185%</f>
        <v>17.574999999999999</v>
      </c>
      <c r="X35" s="68">
        <f>+$B$35*$C$3+$B$35</f>
        <v>18.277999999999999</v>
      </c>
      <c r="Y35" s="75">
        <f>+Y5*185%</f>
        <v>18.643560000000001</v>
      </c>
      <c r="Z35" s="74">
        <f>+Z5*185%</f>
        <v>19.0164312</v>
      </c>
      <c r="AA35" s="73">
        <f>+AA5*185%</f>
        <v>19.396759824</v>
      </c>
      <c r="AB35" s="72">
        <f>+AB5*185%</f>
        <v>19.784695020480001</v>
      </c>
    </row>
    <row r="36" spans="1:28" ht="15.6" thickBot="1" x14ac:dyDescent="0.3">
      <c r="A36" s="71" t="s">
        <v>7</v>
      </c>
      <c r="B36" s="69">
        <f>+B6*185%</f>
        <v>3.5150000000000001</v>
      </c>
      <c r="C36" s="68">
        <v>3.66</v>
      </c>
      <c r="D36" s="67">
        <v>3.74</v>
      </c>
      <c r="E36" s="66">
        <v>3.81</v>
      </c>
      <c r="F36" s="65">
        <v>3.89</v>
      </c>
      <c r="G36" s="64">
        <v>3.96</v>
      </c>
      <c r="H36" s="70"/>
      <c r="I36" s="69">
        <v>3.5150000000000001</v>
      </c>
      <c r="J36" s="68">
        <v>3.66</v>
      </c>
      <c r="K36" s="67">
        <v>3.74</v>
      </c>
      <c r="L36" s="66">
        <v>3.81</v>
      </c>
      <c r="M36" s="65">
        <v>3.89</v>
      </c>
      <c r="N36" s="64">
        <v>3.96</v>
      </c>
      <c r="O36" s="70"/>
      <c r="P36" s="69">
        <f>+P6*185%</f>
        <v>3.5150000000000001</v>
      </c>
      <c r="Q36" s="68">
        <v>3.66</v>
      </c>
      <c r="R36" s="67">
        <v>3.74</v>
      </c>
      <c r="S36" s="66">
        <v>3.81</v>
      </c>
      <c r="T36" s="65">
        <v>3.89</v>
      </c>
      <c r="U36" s="64">
        <v>3.96</v>
      </c>
      <c r="V36" s="70"/>
      <c r="W36" s="69">
        <f>+W6*185%</f>
        <v>3.5150000000000001</v>
      </c>
      <c r="X36" s="68">
        <v>3.66</v>
      </c>
      <c r="Y36" s="67">
        <v>3.74</v>
      </c>
      <c r="Z36" s="66">
        <v>3.81</v>
      </c>
      <c r="AA36" s="65">
        <v>3.89</v>
      </c>
      <c r="AB36" s="64">
        <v>3.96</v>
      </c>
    </row>
    <row r="37" spans="1:28" ht="15" x14ac:dyDescent="0.25">
      <c r="A37" s="63" t="s">
        <v>6</v>
      </c>
      <c r="B37" s="57">
        <f>+((9.5*185%))+((1.9*185%)*3)</f>
        <v>28.119999999999997</v>
      </c>
      <c r="C37" s="61">
        <f>+(C35)+((3)*((C36)))</f>
        <v>29.258000000000003</v>
      </c>
      <c r="D37" s="60">
        <f>+D35+((3)*((D36)))</f>
        <v>29.86356</v>
      </c>
      <c r="E37" s="59">
        <f>+E35+((3)*((E36)))</f>
        <v>30.446431199999999</v>
      </c>
      <c r="F37" s="53">
        <f>+F35+((3)*((F36)))</f>
        <v>31.066759824000002</v>
      </c>
      <c r="G37" s="52">
        <f>+G35+((3)*((G36)))</f>
        <v>31.66469502048</v>
      </c>
      <c r="H37" s="58"/>
      <c r="I37" s="57">
        <f>+I35+(6*I36)</f>
        <v>38.664999999999999</v>
      </c>
      <c r="J37" s="61">
        <f>+J35+((6)*(J36))</f>
        <v>40.238</v>
      </c>
      <c r="K37" s="60">
        <f>+K35+((6)*(K36))</f>
        <v>41.083560000000006</v>
      </c>
      <c r="L37" s="59">
        <f>+L35+((6)*(L36))</f>
        <v>41.876431199999999</v>
      </c>
      <c r="M37" s="53">
        <f>+M35+((6)*(M36))</f>
        <v>42.736759824000004</v>
      </c>
      <c r="N37" s="52">
        <f>+N35+((6)*(N36))</f>
        <v>43.544695020479999</v>
      </c>
      <c r="O37" s="58"/>
      <c r="P37" s="57">
        <f>+P35+(P36*10)</f>
        <v>52.724999999999994</v>
      </c>
      <c r="Q37" s="61">
        <f>+Q35+((10)*(Q36))</f>
        <v>54.878</v>
      </c>
      <c r="R37" s="60">
        <f>+R35+((10)*(R36))</f>
        <v>56.043560000000006</v>
      </c>
      <c r="S37" s="59">
        <f>+S35+((10)*(S36))</f>
        <v>57.116431200000001</v>
      </c>
      <c r="T37" s="53">
        <f>+T35+((10)*(T36))</f>
        <v>58.296759823999999</v>
      </c>
      <c r="U37" s="52">
        <f>+U35+((10)*(U36))</f>
        <v>59.384695020480002</v>
      </c>
      <c r="V37" s="58"/>
      <c r="W37" s="57">
        <f>+W35+(W36*15)</f>
        <v>70.3</v>
      </c>
      <c r="X37" s="61">
        <f>+X35+((15)*(X36))</f>
        <v>73.177999999999997</v>
      </c>
      <c r="Y37" s="60">
        <f>+Y35+((15)*((Y36)))</f>
        <v>74.743560000000002</v>
      </c>
      <c r="Z37" s="59">
        <f>+Z35+((15)*((Z36)))</f>
        <v>76.166431200000005</v>
      </c>
      <c r="AA37" s="53">
        <f>+AA35+((15)*((AA36)))</f>
        <v>77.746759824000009</v>
      </c>
      <c r="AB37" s="52">
        <f>+AB35+((15)*((AB36)))</f>
        <v>79.184695020480007</v>
      </c>
    </row>
    <row r="38" spans="1:28" ht="15" x14ac:dyDescent="0.25">
      <c r="A38" s="62" t="s">
        <v>5</v>
      </c>
      <c r="B38" s="57">
        <f t="shared" ref="B38:G38" si="20">B37*0.06</f>
        <v>1.6871999999999998</v>
      </c>
      <c r="C38" s="61">
        <f t="shared" si="20"/>
        <v>1.7554800000000002</v>
      </c>
      <c r="D38" s="60">
        <f t="shared" si="20"/>
        <v>1.7918136</v>
      </c>
      <c r="E38" s="59">
        <f t="shared" si="20"/>
        <v>1.8267858719999999</v>
      </c>
      <c r="F38" s="53">
        <f t="shared" si="20"/>
        <v>1.8640055894400001</v>
      </c>
      <c r="G38" s="52">
        <f t="shared" si="20"/>
        <v>1.8998817012287998</v>
      </c>
      <c r="H38" s="58"/>
      <c r="I38" s="57">
        <f>+I37*6%</f>
        <v>2.3199000000000001</v>
      </c>
      <c r="J38" s="61">
        <f>J37*0.06</f>
        <v>2.4142799999999998</v>
      </c>
      <c r="K38" s="60">
        <f>K37*0.06</f>
        <v>2.4650136000000002</v>
      </c>
      <c r="L38" s="59">
        <f>L37*0.06</f>
        <v>2.5125858719999998</v>
      </c>
      <c r="M38" s="53">
        <f>M37*0.06</f>
        <v>2.5642055894400002</v>
      </c>
      <c r="N38" s="52">
        <f>N37*0.06</f>
        <v>2.6126817012287997</v>
      </c>
      <c r="O38" s="58"/>
      <c r="P38" s="57">
        <f t="shared" ref="P38:U38" si="21">P37*0.06</f>
        <v>3.1634999999999995</v>
      </c>
      <c r="Q38" s="61">
        <f t="shared" si="21"/>
        <v>3.2926799999999998</v>
      </c>
      <c r="R38" s="60">
        <f t="shared" si="21"/>
        <v>3.3626136000000004</v>
      </c>
      <c r="S38" s="59">
        <f t="shared" si="21"/>
        <v>3.4269858719999999</v>
      </c>
      <c r="T38" s="53">
        <f t="shared" si="21"/>
        <v>3.49780558944</v>
      </c>
      <c r="U38" s="52">
        <f t="shared" si="21"/>
        <v>3.5630817012287999</v>
      </c>
      <c r="V38" s="58"/>
      <c r="W38" s="57">
        <f t="shared" ref="W38:AB38" si="22">W37*0.06</f>
        <v>4.218</v>
      </c>
      <c r="X38" s="56">
        <f t="shared" si="22"/>
        <v>4.3906799999999997</v>
      </c>
      <c r="Y38" s="55">
        <f t="shared" si="22"/>
        <v>4.4846136000000003</v>
      </c>
      <c r="Z38" s="54">
        <f t="shared" si="22"/>
        <v>4.5699858720000002</v>
      </c>
      <c r="AA38" s="53">
        <f t="shared" si="22"/>
        <v>4.6648055894400002</v>
      </c>
      <c r="AB38" s="52">
        <f t="shared" si="22"/>
        <v>4.7510817012288005</v>
      </c>
    </row>
    <row r="39" spans="1:28" ht="15.6" x14ac:dyDescent="0.3">
      <c r="A39" s="51" t="s">
        <v>4</v>
      </c>
      <c r="B39" s="46">
        <f t="shared" ref="B39:G39" si="23">SUM(B37:B38)</f>
        <v>29.807199999999998</v>
      </c>
      <c r="C39" s="50">
        <f t="shared" si="23"/>
        <v>31.013480000000001</v>
      </c>
      <c r="D39" s="49">
        <f t="shared" si="23"/>
        <v>31.655373600000001</v>
      </c>
      <c r="E39" s="48">
        <f t="shared" si="23"/>
        <v>32.273217072000001</v>
      </c>
      <c r="F39" s="42">
        <f t="shared" si="23"/>
        <v>32.93076541344</v>
      </c>
      <c r="G39" s="41">
        <f t="shared" si="23"/>
        <v>33.564576721708796</v>
      </c>
      <c r="H39" s="47"/>
      <c r="I39" s="46">
        <f>+I37+I38</f>
        <v>40.984899999999996</v>
      </c>
      <c r="J39" s="50">
        <f>SUM(J37:J38)</f>
        <v>42.652279999999998</v>
      </c>
      <c r="K39" s="49">
        <f>SUM(K37:K38)</f>
        <v>43.548573600000005</v>
      </c>
      <c r="L39" s="48">
        <f>SUM(L37:L38)</f>
        <v>44.389017072000001</v>
      </c>
      <c r="M39" s="42">
        <f>SUM(M37:M38)</f>
        <v>45.300965413440004</v>
      </c>
      <c r="N39" s="41">
        <f>SUM(N37:N38)</f>
        <v>46.1573767217088</v>
      </c>
      <c r="O39" s="47"/>
      <c r="P39" s="46">
        <f t="shared" ref="P39:U39" si="24">SUM(P37:P38)</f>
        <v>55.888499999999993</v>
      </c>
      <c r="Q39" s="50">
        <f t="shared" si="24"/>
        <v>58.170679999999997</v>
      </c>
      <c r="R39" s="49">
        <f t="shared" si="24"/>
        <v>59.40617360000001</v>
      </c>
      <c r="S39" s="48">
        <f t="shared" si="24"/>
        <v>60.543417072000004</v>
      </c>
      <c r="T39" s="42">
        <f t="shared" si="24"/>
        <v>61.794565413439997</v>
      </c>
      <c r="U39" s="41">
        <f t="shared" si="24"/>
        <v>62.947776721708806</v>
      </c>
      <c r="V39" s="47"/>
      <c r="W39" s="46">
        <f t="shared" ref="W39:AB39" si="25">SUM(W37:W38)</f>
        <v>74.518000000000001</v>
      </c>
      <c r="X39" s="45">
        <f t="shared" si="25"/>
        <v>77.568680000000001</v>
      </c>
      <c r="Y39" s="44">
        <f t="shared" si="25"/>
        <v>79.228173600000005</v>
      </c>
      <c r="Z39" s="43">
        <f t="shared" si="25"/>
        <v>80.736417072000009</v>
      </c>
      <c r="AA39" s="42">
        <f t="shared" si="25"/>
        <v>82.411565413440002</v>
      </c>
      <c r="AB39" s="41">
        <f t="shared" si="25"/>
        <v>83.935776721708805</v>
      </c>
    </row>
    <row r="40" spans="1:28" ht="15.6" x14ac:dyDescent="0.3">
      <c r="A40" s="40" t="s">
        <v>3</v>
      </c>
      <c r="B40" s="33"/>
      <c r="C40" s="32">
        <f>(C39-B39)/B39</f>
        <v>4.0469416785206366E-2</v>
      </c>
      <c r="D40" s="31">
        <f>(D39-C39)/C39</f>
        <v>2.0697245197894575E-2</v>
      </c>
      <c r="E40" s="30">
        <f>(E39-D39)/D39</f>
        <v>1.9517806986173131E-2</v>
      </c>
      <c r="F40" s="39">
        <f>(F39-E39)/E39</f>
        <v>2.037442812016662E-2</v>
      </c>
      <c r="G40" s="38">
        <f>(G39-F39)/F39</f>
        <v>1.9246783374495147E-2</v>
      </c>
      <c r="H40" s="34"/>
      <c r="I40" s="33"/>
      <c r="J40" s="37">
        <f>+(J39-((($B$35)+($B$36*6))+((($B$35)+($B$36*6))*6%)))/((($B$35)+($B$36*6))+((($B$35)+($B$36*6))*6%))</f>
        <v>4.0682788051209146E-2</v>
      </c>
      <c r="K40" s="31">
        <f>+(K39-J39)/J39</f>
        <v>2.1013966896963235E-2</v>
      </c>
      <c r="L40" s="30">
        <f>+(L39-K39)/K39</f>
        <v>1.9298989668860171E-2</v>
      </c>
      <c r="M40" s="36">
        <f>+(M39-L39)/L39</f>
        <v>2.0544459003469285E-2</v>
      </c>
      <c r="N40" s="35">
        <f>+(N39-M39)/M39</f>
        <v>1.890492400002395E-2</v>
      </c>
      <c r="O40" s="34"/>
      <c r="P40" s="33"/>
      <c r="Q40" s="32">
        <f>+(Q39-((($B$35)+($B$36*10))+((($B$35)+($B$36*10))*6%)))/((($B$35)+($B$36*10))+((($B$35)+($B$36*10))*6%))</f>
        <v>4.0834518729255642E-2</v>
      </c>
      <c r="R40" s="31">
        <f>+(R39-Q39)/Q39</f>
        <v>2.12391122125444E-2</v>
      </c>
      <c r="S40" s="30">
        <f>(S39-R39)/R39</f>
        <v>1.9143523359329683E-2</v>
      </c>
      <c r="T40" s="36">
        <f>+(T39-S39)/S39</f>
        <v>2.0665307674195051E-2</v>
      </c>
      <c r="U40" s="35">
        <f>+(U39-T39)/T39</f>
        <v>1.8662018262499035E-2</v>
      </c>
      <c r="V40" s="34"/>
      <c r="W40" s="33"/>
      <c r="X40" s="32">
        <f>+(X39-((($B$35)+($B$36*15))+((($B$35)+($B$36*15))*6%)))/((($B$35)+($B$36*15))+((($B$35)+($B$36*15))*6%))</f>
        <v>4.0938833570412517E-2</v>
      </c>
      <c r="Y40" s="31">
        <f>(Y39-X39)/X39</f>
        <v>2.1393861543086781E-2</v>
      </c>
      <c r="Z40" s="30">
        <f>(Z39-Y39)/Y39</f>
        <v>1.9036706306202213E-2</v>
      </c>
      <c r="AA40" s="29">
        <f>(AA39-Z39)/Z39</f>
        <v>2.0748361175677521E-2</v>
      </c>
      <c r="AB40" s="28">
        <f>(AB39-AA39)/AA39</f>
        <v>1.8495114133825558E-2</v>
      </c>
    </row>
    <row r="41" spans="1:28" ht="15.6" x14ac:dyDescent="0.3">
      <c r="A41" s="27" t="s">
        <v>2</v>
      </c>
      <c r="B41" s="25"/>
      <c r="C41" s="19">
        <f>+C39-B39</f>
        <v>1.2062800000000031</v>
      </c>
      <c r="D41" s="24">
        <f>+D39-C39</f>
        <v>0.64189359999999951</v>
      </c>
      <c r="E41" s="23">
        <f>+E39-D39</f>
        <v>0.61784347200000056</v>
      </c>
      <c r="F41" s="22">
        <f>+F39-E39</f>
        <v>0.6575483414399983</v>
      </c>
      <c r="G41" s="21">
        <f>+G39-F39</f>
        <v>0.63381130826879684</v>
      </c>
      <c r="H41" s="26"/>
      <c r="I41" s="20"/>
      <c r="J41" s="19">
        <f>+J39-I39</f>
        <v>1.6673800000000014</v>
      </c>
      <c r="K41" s="18">
        <f>+K39-J39</f>
        <v>0.89629360000000702</v>
      </c>
      <c r="L41" s="17">
        <f>+L39-K39</f>
        <v>0.84044347199999692</v>
      </c>
      <c r="M41" s="16">
        <f>+M39-L39</f>
        <v>0.91194834144000225</v>
      </c>
      <c r="N41" s="15">
        <f>+N39-M39</f>
        <v>0.85641130826879674</v>
      </c>
      <c r="O41" s="26"/>
      <c r="P41" s="20"/>
      <c r="Q41" s="19">
        <f>+Q39-P39</f>
        <v>2.2821800000000039</v>
      </c>
      <c r="R41" s="18">
        <f>+R39-Q39</f>
        <v>1.2354936000000123</v>
      </c>
      <c r="S41" s="17">
        <f>+S39-R39</f>
        <v>1.1372434719999944</v>
      </c>
      <c r="T41" s="16">
        <f>+T39-S39</f>
        <v>1.2511483414399933</v>
      </c>
      <c r="U41" s="15">
        <f>+U39-T39</f>
        <v>1.1532113082688085</v>
      </c>
      <c r="V41" s="26"/>
      <c r="W41" s="20"/>
      <c r="X41" s="19">
        <f>+X39-W39</f>
        <v>3.0506799999999998</v>
      </c>
      <c r="Y41" s="18">
        <f>+Y39-X39</f>
        <v>1.6594936000000047</v>
      </c>
      <c r="Z41" s="17">
        <f>+Z39-Y39</f>
        <v>1.5082434720000037</v>
      </c>
      <c r="AA41" s="16">
        <f>+AA39-Z39</f>
        <v>1.6751483414399928</v>
      </c>
      <c r="AB41" s="15">
        <f>+AB39-AA39</f>
        <v>1.5242113082688036</v>
      </c>
    </row>
    <row r="42" spans="1:28" ht="15.6" x14ac:dyDescent="0.3">
      <c r="B42" s="25"/>
      <c r="C42" s="19"/>
      <c r="D42" s="24"/>
      <c r="E42" s="23"/>
      <c r="F42" s="22"/>
      <c r="G42" s="21"/>
      <c r="I42" s="20"/>
      <c r="J42" s="19"/>
      <c r="K42" s="18"/>
      <c r="L42" s="17"/>
      <c r="M42" s="16"/>
      <c r="N42" s="15"/>
      <c r="P42" s="20"/>
      <c r="Q42" s="19"/>
      <c r="R42" s="18"/>
      <c r="S42" s="17"/>
      <c r="T42" s="16"/>
      <c r="U42" s="15"/>
      <c r="W42" s="20"/>
      <c r="X42" s="19"/>
      <c r="Y42" s="18"/>
      <c r="Z42" s="17"/>
      <c r="AA42" s="16"/>
      <c r="AB42" s="15"/>
    </row>
    <row r="43" spans="1:28" ht="15.6" x14ac:dyDescent="0.3">
      <c r="A43" s="14" t="s">
        <v>1</v>
      </c>
      <c r="B43" s="13"/>
      <c r="C43" s="10">
        <f>+C41*12</f>
        <v>14.475360000000038</v>
      </c>
      <c r="D43" s="9">
        <f>+D41*12</f>
        <v>7.7027231999999941</v>
      </c>
      <c r="E43" s="8">
        <f>+E41*12</f>
        <v>7.4141216640000067</v>
      </c>
      <c r="F43" s="7">
        <f>+F41*12</f>
        <v>7.8905800972799796</v>
      </c>
      <c r="G43" s="6">
        <f>+G41*12</f>
        <v>7.605735699225562</v>
      </c>
      <c r="H43" s="12"/>
      <c r="I43" s="11"/>
      <c r="J43" s="10">
        <f>+J41*12</f>
        <v>20.008560000000017</v>
      </c>
      <c r="K43" s="9">
        <f>+K41*12</f>
        <v>10.755523200000084</v>
      </c>
      <c r="L43" s="8">
        <f>+L41*12</f>
        <v>10.085321663999963</v>
      </c>
      <c r="M43" s="7">
        <f>+M41*12</f>
        <v>10.943380097280027</v>
      </c>
      <c r="N43" s="6">
        <f>+N41*12</f>
        <v>10.276935699225561</v>
      </c>
      <c r="O43" s="12"/>
      <c r="P43" s="11"/>
      <c r="Q43" s="10">
        <f>+Q41*12</f>
        <v>27.386160000000046</v>
      </c>
      <c r="R43" s="9">
        <f>+R41*12</f>
        <v>14.825923200000148</v>
      </c>
      <c r="S43" s="8">
        <f>+S41*12</f>
        <v>13.646921663999933</v>
      </c>
      <c r="T43" s="7">
        <f>+T41*12</f>
        <v>15.01378009727992</v>
      </c>
      <c r="U43" s="6">
        <f>+U41*12</f>
        <v>13.838535699225702</v>
      </c>
      <c r="V43" s="12"/>
      <c r="W43" s="11"/>
      <c r="X43" s="10">
        <f>+X41*12</f>
        <v>36.608159999999998</v>
      </c>
      <c r="Y43" s="9">
        <f>+Y41*12</f>
        <v>19.913923200000056</v>
      </c>
      <c r="Z43" s="8">
        <f>+Z41*12</f>
        <v>18.098921664000045</v>
      </c>
      <c r="AA43" s="7">
        <f>+AA41*12</f>
        <v>20.101780097279914</v>
      </c>
      <c r="AB43" s="6">
        <f>+AB41*12</f>
        <v>18.290535699225643</v>
      </c>
    </row>
    <row r="44" spans="1:28" ht="15.6" x14ac:dyDescent="0.3">
      <c r="A44" s="5" t="s">
        <v>0</v>
      </c>
      <c r="G44" s="4">
        <f>+(G39-B39)/B39</f>
        <v>0.12605601068563296</v>
      </c>
      <c r="J44" s="3"/>
      <c r="N44" s="4">
        <f>+(N39-I39)/I39</f>
        <v>0.12620444899728447</v>
      </c>
      <c r="Q44" s="3"/>
      <c r="U44" s="2">
        <f>+(U39-P39)/P39</f>
        <v>0.12631000513001447</v>
      </c>
      <c r="X44" s="3"/>
      <c r="AB44" s="2">
        <f>+(AB39-W39)/W39</f>
        <v>0.12638257497126607</v>
      </c>
    </row>
  </sheetData>
  <mergeCells count="1">
    <mergeCell ref="A29:A30"/>
  </mergeCells>
  <printOptions horizontalCentered="1" gridLines="1"/>
  <pageMargins left="0.17" right="0.2" top="1" bottom="1" header="0.5" footer="0.5"/>
  <pageSetup scale="68" fitToHeight="0" orientation="landscape" r:id="rId1"/>
  <headerFooter alignWithMargins="0">
    <oddHeader>&amp;C&amp;"Cooper Black,Bold"&amp;14&amp;KFF0000RESIDENTIAL RATE ESTIMATES BASED ON HOUSEHOLD SIZE
ALTERNATIVE ONE - INCREASE BOTH BASE FEE &amp; VOLUME CHARGE&amp;R&amp;14&amp;P</oddHeader>
  </headerFooter>
  <colBreaks count="3" manualBreakCount="3">
    <brk id="8" max="43" man="1"/>
    <brk id="15" max="43" man="1"/>
    <brk id="22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zoomScale="50" zoomScaleNormal="100" zoomScalePageLayoutView="50" workbookViewId="0">
      <selection activeCell="G45" sqref="G45"/>
    </sheetView>
  </sheetViews>
  <sheetFormatPr defaultRowHeight="13.2" x14ac:dyDescent="0.25"/>
  <cols>
    <col min="1" max="1" width="27.5546875" customWidth="1"/>
    <col min="2" max="2" width="24.21875" customWidth="1"/>
    <col min="3" max="3" width="25.5546875" customWidth="1"/>
    <col min="4" max="4" width="24.5546875" customWidth="1"/>
    <col min="5" max="5" width="24.88671875" customWidth="1"/>
    <col min="6" max="7" width="24.44140625" customWidth="1"/>
    <col min="8" max="8" width="0.88671875" customWidth="1"/>
    <col min="9" max="9" width="25.5546875" style="1" customWidth="1"/>
    <col min="10" max="10" width="23.109375" customWidth="1"/>
    <col min="11" max="11" width="25.33203125" customWidth="1"/>
    <col min="12" max="12" width="25.44140625" customWidth="1"/>
    <col min="13" max="14" width="24.44140625" customWidth="1"/>
    <col min="15" max="15" width="1.109375" customWidth="1"/>
    <col min="16" max="16" width="27.44140625" style="1" customWidth="1"/>
    <col min="17" max="17" width="25" customWidth="1"/>
    <col min="18" max="18" width="26.5546875" customWidth="1"/>
    <col min="19" max="19" width="25.33203125" customWidth="1"/>
    <col min="20" max="21" width="24.44140625" customWidth="1"/>
    <col min="22" max="22" width="1.109375" customWidth="1"/>
    <col min="23" max="23" width="26.33203125" style="1" customWidth="1"/>
    <col min="24" max="24" width="23.88671875" customWidth="1"/>
    <col min="25" max="25" width="24.88671875" customWidth="1"/>
    <col min="26" max="26" width="25.6640625" customWidth="1"/>
    <col min="27" max="28" width="24.44140625" customWidth="1"/>
  </cols>
  <sheetData>
    <row r="1" spans="1:28" ht="21" x14ac:dyDescent="0.4">
      <c r="A1" s="63"/>
      <c r="B1" s="196" t="s">
        <v>18</v>
      </c>
      <c r="D1" s="63"/>
      <c r="E1" s="63"/>
      <c r="H1" s="88"/>
      <c r="I1" s="193" t="s">
        <v>17</v>
      </c>
      <c r="K1" s="63"/>
      <c r="L1" s="63"/>
      <c r="O1" s="88"/>
      <c r="P1" s="193" t="s">
        <v>16</v>
      </c>
      <c r="R1" s="63"/>
      <c r="S1" s="63"/>
      <c r="V1" s="88"/>
      <c r="W1" s="196" t="s">
        <v>15</v>
      </c>
      <c r="Y1" s="63"/>
      <c r="Z1" s="63"/>
    </row>
    <row r="2" spans="1:28" ht="15.6" customHeight="1" x14ac:dyDescent="0.3">
      <c r="A2" s="157" t="s">
        <v>37</v>
      </c>
      <c r="B2" s="195" t="s">
        <v>36</v>
      </c>
      <c r="D2" s="77"/>
      <c r="E2" s="77"/>
      <c r="H2" s="88"/>
      <c r="I2" s="195" t="s">
        <v>21</v>
      </c>
      <c r="K2" s="77"/>
      <c r="L2" s="77"/>
      <c r="O2" s="88"/>
      <c r="P2" s="197" t="s">
        <v>20</v>
      </c>
      <c r="R2" s="77"/>
      <c r="S2" s="77"/>
      <c r="V2" s="88"/>
      <c r="W2" s="195" t="s">
        <v>19</v>
      </c>
      <c r="Y2" s="77"/>
      <c r="Z2" s="77"/>
    </row>
    <row r="3" spans="1:28" ht="15" x14ac:dyDescent="0.25">
      <c r="A3" s="77" t="s">
        <v>31</v>
      </c>
      <c r="C3" s="126">
        <v>0.04</v>
      </c>
      <c r="D3" s="126">
        <v>0.02</v>
      </c>
      <c r="E3" s="126">
        <v>0.02</v>
      </c>
      <c r="F3" s="126">
        <v>0.02</v>
      </c>
      <c r="G3" s="126">
        <v>0.02</v>
      </c>
      <c r="H3" s="129"/>
      <c r="I3" s="143"/>
      <c r="J3" s="126">
        <v>0.04</v>
      </c>
      <c r="K3" s="126">
        <v>0.02</v>
      </c>
      <c r="L3" s="126">
        <v>0.02</v>
      </c>
      <c r="M3" s="126">
        <v>0.02</v>
      </c>
      <c r="N3" s="126">
        <v>0.02</v>
      </c>
      <c r="O3" s="129"/>
      <c r="P3" s="143"/>
      <c r="Q3" s="126">
        <v>0.04</v>
      </c>
      <c r="R3" s="126">
        <v>0.02</v>
      </c>
      <c r="S3" s="126">
        <v>0.02</v>
      </c>
      <c r="T3" s="126">
        <v>0.02</v>
      </c>
      <c r="U3" s="126">
        <v>0.02</v>
      </c>
      <c r="V3" s="129"/>
      <c r="W3" s="143"/>
      <c r="X3" s="126">
        <v>0.04</v>
      </c>
      <c r="Y3" s="126">
        <v>0.02</v>
      </c>
      <c r="Z3" s="126">
        <v>0.02</v>
      </c>
      <c r="AA3" s="126">
        <v>0.02</v>
      </c>
      <c r="AB3" s="126">
        <v>0.02</v>
      </c>
    </row>
    <row r="4" spans="1:28" ht="15.6" x14ac:dyDescent="0.3">
      <c r="B4" s="83" t="s">
        <v>13</v>
      </c>
      <c r="C4" s="82" t="s">
        <v>12</v>
      </c>
      <c r="D4" s="81" t="s">
        <v>11</v>
      </c>
      <c r="E4" s="80" t="s">
        <v>10</v>
      </c>
      <c r="F4" s="79" t="s">
        <v>35</v>
      </c>
      <c r="G4" s="78" t="s">
        <v>34</v>
      </c>
      <c r="H4" s="84"/>
      <c r="I4" s="83" t="s">
        <v>13</v>
      </c>
      <c r="J4" s="82" t="s">
        <v>12</v>
      </c>
      <c r="K4" s="81" t="s">
        <v>11</v>
      </c>
      <c r="L4" s="80" t="s">
        <v>10</v>
      </c>
      <c r="M4" s="79" t="s">
        <v>35</v>
      </c>
      <c r="N4" s="78" t="s">
        <v>34</v>
      </c>
      <c r="O4" s="84"/>
      <c r="P4" s="83" t="s">
        <v>13</v>
      </c>
      <c r="Q4" s="82" t="s">
        <v>12</v>
      </c>
      <c r="R4" s="81" t="s">
        <v>11</v>
      </c>
      <c r="S4" s="80" t="s">
        <v>10</v>
      </c>
      <c r="T4" s="79" t="s">
        <v>35</v>
      </c>
      <c r="U4" s="78" t="s">
        <v>34</v>
      </c>
      <c r="V4" s="84"/>
      <c r="W4" s="83" t="s">
        <v>13</v>
      </c>
      <c r="X4" s="82" t="s">
        <v>12</v>
      </c>
      <c r="Y4" s="81" t="s">
        <v>11</v>
      </c>
      <c r="Z4" s="80" t="s">
        <v>10</v>
      </c>
      <c r="AA4" s="79" t="s">
        <v>35</v>
      </c>
      <c r="AB4" s="78" t="s">
        <v>34</v>
      </c>
    </row>
    <row r="5" spans="1:28" ht="15" x14ac:dyDescent="0.25">
      <c r="A5" s="77" t="s">
        <v>8</v>
      </c>
      <c r="B5" s="76">
        <v>9.5</v>
      </c>
      <c r="C5" s="68">
        <v>10.355</v>
      </c>
      <c r="D5" s="75">
        <v>10.82</v>
      </c>
      <c r="E5" s="74">
        <v>11.305</v>
      </c>
      <c r="F5" s="73">
        <v>11.77</v>
      </c>
      <c r="G5" s="72">
        <v>12.255000000000001</v>
      </c>
      <c r="H5" s="142"/>
      <c r="I5" s="76">
        <v>9.5</v>
      </c>
      <c r="J5" s="94">
        <v>10.355</v>
      </c>
      <c r="K5" s="75">
        <v>10.82</v>
      </c>
      <c r="L5" s="74">
        <v>11.305</v>
      </c>
      <c r="M5" s="73">
        <v>11.77</v>
      </c>
      <c r="N5" s="72">
        <v>12.255000000000001</v>
      </c>
      <c r="O5" s="142"/>
      <c r="P5" s="76">
        <v>9.5</v>
      </c>
      <c r="Q5" s="94">
        <v>10.355</v>
      </c>
      <c r="R5" s="75">
        <v>10.82</v>
      </c>
      <c r="S5" s="74">
        <v>11.305</v>
      </c>
      <c r="T5" s="73">
        <v>11.77</v>
      </c>
      <c r="U5" s="72">
        <v>12.255000000000001</v>
      </c>
      <c r="V5" s="142"/>
      <c r="W5" s="76">
        <v>9.5</v>
      </c>
      <c r="X5" s="94">
        <v>10.355</v>
      </c>
      <c r="Y5" s="75">
        <v>10.82</v>
      </c>
      <c r="Z5" s="74">
        <v>11.305</v>
      </c>
      <c r="AA5" s="73">
        <v>11.77</v>
      </c>
      <c r="AB5" s="72">
        <v>12.255000000000001</v>
      </c>
    </row>
    <row r="6" spans="1:28" ht="15.6" thickBot="1" x14ac:dyDescent="0.3">
      <c r="A6" s="71" t="s">
        <v>7</v>
      </c>
      <c r="B6" s="76">
        <v>1.9</v>
      </c>
      <c r="C6" s="68"/>
      <c r="D6" s="67"/>
      <c r="E6" s="66"/>
      <c r="F6" s="73"/>
      <c r="G6" s="72"/>
      <c r="H6" s="142"/>
      <c r="I6" s="76">
        <v>1.9</v>
      </c>
      <c r="J6" s="68"/>
      <c r="K6" s="67"/>
      <c r="L6" s="66"/>
      <c r="M6" s="73"/>
      <c r="N6" s="72"/>
      <c r="O6" s="142"/>
      <c r="P6" s="76">
        <v>1.9</v>
      </c>
      <c r="Q6" s="68"/>
      <c r="R6" s="67"/>
      <c r="S6" s="66"/>
      <c r="T6" s="73"/>
      <c r="U6" s="72"/>
      <c r="V6" s="142"/>
      <c r="W6" s="76">
        <v>1.9</v>
      </c>
      <c r="X6" s="68"/>
      <c r="Y6" s="67"/>
      <c r="Z6" s="66"/>
      <c r="AA6" s="73"/>
      <c r="AB6" s="72"/>
    </row>
    <row r="7" spans="1:28" ht="15" x14ac:dyDescent="0.25">
      <c r="A7" s="119" t="s">
        <v>30</v>
      </c>
      <c r="B7" s="57">
        <f>+(9.5) +((3)*B6)</f>
        <v>15.2</v>
      </c>
      <c r="C7" s="61">
        <f>+(C5) +((3)*($B$6))</f>
        <v>16.055</v>
      </c>
      <c r="D7" s="60">
        <f>+(D5) +((3)*($B$6))</f>
        <v>16.52</v>
      </c>
      <c r="E7" s="59">
        <f>+(E5) +((3)*($B$6))</f>
        <v>17.004999999999999</v>
      </c>
      <c r="F7" s="53">
        <f>+(F5) +((3)*($B$6))</f>
        <v>17.47</v>
      </c>
      <c r="G7" s="52">
        <f>+(G5) +((3)*($B$6))</f>
        <v>17.954999999999998</v>
      </c>
      <c r="H7" s="58"/>
      <c r="I7" s="57">
        <f>+(9.5) +((6)*I6)</f>
        <v>20.9</v>
      </c>
      <c r="J7" s="61">
        <f>+(J5) +((6)*($B$6))</f>
        <v>21.754999999999999</v>
      </c>
      <c r="K7" s="60">
        <f>+(K5) +((6)*($B$6))</f>
        <v>22.22</v>
      </c>
      <c r="L7" s="59">
        <f>+(L5) +((6)*($B$6))</f>
        <v>22.704999999999998</v>
      </c>
      <c r="M7" s="53">
        <f>+(M5) +((6)*($B$6))</f>
        <v>23.169999999999998</v>
      </c>
      <c r="N7" s="52">
        <f>+(N5) +((6)*($B$6))</f>
        <v>23.655000000000001</v>
      </c>
      <c r="O7" s="58"/>
      <c r="P7" s="57">
        <f>+(9.5) +((10)*P6)</f>
        <v>28.5</v>
      </c>
      <c r="Q7" s="61">
        <f>+(Q5) +((10)*($B$6))</f>
        <v>29.355</v>
      </c>
      <c r="R7" s="60">
        <f>+(R5) +((10)*($B$6))</f>
        <v>29.82</v>
      </c>
      <c r="S7" s="59">
        <f>+(S5) +((10)*($B$6))</f>
        <v>30.305</v>
      </c>
      <c r="T7" s="53">
        <f>+(T5) +((10)*($B$6))</f>
        <v>30.77</v>
      </c>
      <c r="U7" s="52">
        <f>+(U5) +((10)*($B$6))</f>
        <v>31.255000000000003</v>
      </c>
      <c r="V7" s="58"/>
      <c r="W7" s="57">
        <f>+(9.5) +((15)*W6)</f>
        <v>38</v>
      </c>
      <c r="X7" s="61">
        <f>+(X5) +((15)*($B$6))</f>
        <v>38.855000000000004</v>
      </c>
      <c r="Y7" s="60">
        <f>+(Y5) +((15)*($B$6))</f>
        <v>39.32</v>
      </c>
      <c r="Z7" s="59">
        <f>+(Z5) +((15)*($B$6))</f>
        <v>39.805</v>
      </c>
      <c r="AA7" s="53">
        <f>+(AA5) +((15)*($B$6))</f>
        <v>40.269999999999996</v>
      </c>
      <c r="AB7" s="52">
        <f>+(AB5) +((15)*($B$6))</f>
        <v>40.755000000000003</v>
      </c>
    </row>
    <row r="8" spans="1:28" ht="15" x14ac:dyDescent="0.25">
      <c r="A8" s="62" t="s">
        <v>5</v>
      </c>
      <c r="B8" s="57">
        <f t="shared" ref="B8:G8" si="0">B7*0.06</f>
        <v>0.91199999999999992</v>
      </c>
      <c r="C8" s="56">
        <f t="shared" si="0"/>
        <v>0.96329999999999993</v>
      </c>
      <c r="D8" s="55">
        <f t="shared" si="0"/>
        <v>0.99119999999999997</v>
      </c>
      <c r="E8" s="54">
        <f t="shared" si="0"/>
        <v>1.0203</v>
      </c>
      <c r="F8" s="53">
        <f t="shared" si="0"/>
        <v>1.0481999999999998</v>
      </c>
      <c r="G8" s="52">
        <f t="shared" si="0"/>
        <v>1.0772999999999999</v>
      </c>
      <c r="H8" s="58"/>
      <c r="I8" s="57">
        <f t="shared" ref="I8:N8" si="1">I7*0.06</f>
        <v>1.2539999999999998</v>
      </c>
      <c r="J8" s="56">
        <f t="shared" si="1"/>
        <v>1.3052999999999999</v>
      </c>
      <c r="K8" s="55">
        <f t="shared" si="1"/>
        <v>1.3331999999999999</v>
      </c>
      <c r="L8" s="54">
        <f t="shared" si="1"/>
        <v>1.3622999999999998</v>
      </c>
      <c r="M8" s="53">
        <f t="shared" si="1"/>
        <v>1.3901999999999999</v>
      </c>
      <c r="N8" s="52">
        <f t="shared" si="1"/>
        <v>1.4193</v>
      </c>
      <c r="O8" s="58"/>
      <c r="P8" s="57">
        <f t="shared" ref="P8:U8" si="2">P7*0.06</f>
        <v>1.71</v>
      </c>
      <c r="Q8" s="56">
        <f t="shared" si="2"/>
        <v>1.7612999999999999</v>
      </c>
      <c r="R8" s="55">
        <f t="shared" si="2"/>
        <v>1.7891999999999999</v>
      </c>
      <c r="S8" s="54">
        <f t="shared" si="2"/>
        <v>1.8182999999999998</v>
      </c>
      <c r="T8" s="53">
        <f t="shared" si="2"/>
        <v>1.8461999999999998</v>
      </c>
      <c r="U8" s="52">
        <f t="shared" si="2"/>
        <v>1.8753000000000002</v>
      </c>
      <c r="V8" s="58"/>
      <c r="W8" s="57">
        <f t="shared" ref="W8:AB8" si="3">W7*0.06</f>
        <v>2.2799999999999998</v>
      </c>
      <c r="X8" s="56">
        <f t="shared" si="3"/>
        <v>2.3313000000000001</v>
      </c>
      <c r="Y8" s="55">
        <f t="shared" si="3"/>
        <v>2.3592</v>
      </c>
      <c r="Z8" s="54">
        <f t="shared" si="3"/>
        <v>2.3883000000000001</v>
      </c>
      <c r="AA8" s="53">
        <f t="shared" si="3"/>
        <v>2.4161999999999995</v>
      </c>
      <c r="AB8" s="52">
        <f t="shared" si="3"/>
        <v>2.4453</v>
      </c>
    </row>
    <row r="9" spans="1:28" ht="15.6" x14ac:dyDescent="0.3">
      <c r="A9" s="157" t="s">
        <v>4</v>
      </c>
      <c r="B9" s="46">
        <f t="shared" ref="B9:G9" si="4">SUM(B7:B8)</f>
        <v>16.111999999999998</v>
      </c>
      <c r="C9" s="45">
        <f t="shared" si="4"/>
        <v>17.0183</v>
      </c>
      <c r="D9" s="44">
        <f t="shared" si="4"/>
        <v>17.511199999999999</v>
      </c>
      <c r="E9" s="43">
        <f t="shared" si="4"/>
        <v>18.025299999999998</v>
      </c>
      <c r="F9" s="42">
        <f t="shared" si="4"/>
        <v>18.5182</v>
      </c>
      <c r="G9" s="41">
        <f t="shared" si="4"/>
        <v>19.032299999999999</v>
      </c>
      <c r="H9" s="47"/>
      <c r="I9" s="46">
        <f t="shared" ref="I9:N9" si="5">SUM(I7:I8)</f>
        <v>22.154</v>
      </c>
      <c r="J9" s="45">
        <f t="shared" si="5"/>
        <v>23.060299999999998</v>
      </c>
      <c r="K9" s="44">
        <f t="shared" si="5"/>
        <v>23.5532</v>
      </c>
      <c r="L9" s="43">
        <f t="shared" si="5"/>
        <v>24.067299999999999</v>
      </c>
      <c r="M9" s="42">
        <f t="shared" si="5"/>
        <v>24.560199999999998</v>
      </c>
      <c r="N9" s="41">
        <f t="shared" si="5"/>
        <v>25.074300000000001</v>
      </c>
      <c r="O9" s="47"/>
      <c r="P9" s="46">
        <f t="shared" ref="P9:U9" si="6">SUM(P7:P8)</f>
        <v>30.21</v>
      </c>
      <c r="Q9" s="45">
        <f t="shared" si="6"/>
        <v>31.116299999999999</v>
      </c>
      <c r="R9" s="44">
        <f t="shared" si="6"/>
        <v>31.609200000000001</v>
      </c>
      <c r="S9" s="43">
        <f t="shared" si="6"/>
        <v>32.1233</v>
      </c>
      <c r="T9" s="42">
        <f t="shared" si="6"/>
        <v>32.616199999999999</v>
      </c>
      <c r="U9" s="41">
        <f t="shared" si="6"/>
        <v>33.130300000000005</v>
      </c>
      <c r="V9" s="47"/>
      <c r="W9" s="46">
        <f t="shared" ref="W9:AB9" si="7">SUM(W7:W8)</f>
        <v>40.28</v>
      </c>
      <c r="X9" s="45">
        <f t="shared" si="7"/>
        <v>41.186300000000003</v>
      </c>
      <c r="Y9" s="44">
        <f t="shared" si="7"/>
        <v>41.679200000000002</v>
      </c>
      <c r="Z9" s="43">
        <f t="shared" si="7"/>
        <v>42.193300000000001</v>
      </c>
      <c r="AA9" s="42">
        <f t="shared" si="7"/>
        <v>42.686199999999992</v>
      </c>
      <c r="AB9" s="41">
        <f t="shared" si="7"/>
        <v>43.200300000000006</v>
      </c>
    </row>
    <row r="10" spans="1:28" ht="15.6" x14ac:dyDescent="0.3">
      <c r="A10" s="40" t="s">
        <v>3</v>
      </c>
      <c r="B10" s="33"/>
      <c r="C10" s="32">
        <f>(C9-B9)/B9</f>
        <v>5.6250000000000105E-2</v>
      </c>
      <c r="D10" s="31">
        <f>(D9-C9)/C9</f>
        <v>2.8962939894113911E-2</v>
      </c>
      <c r="E10" s="30">
        <f>(E9-D9)/D9</f>
        <v>2.9358353510895836E-2</v>
      </c>
      <c r="F10" s="39">
        <f>(F9-E9)/E9</f>
        <v>2.7344898559247412E-2</v>
      </c>
      <c r="G10" s="38">
        <f>(G9-F9)/F9</f>
        <v>2.7761877504293025E-2</v>
      </c>
      <c r="H10" s="34"/>
      <c r="I10" s="33"/>
      <c r="J10" s="139">
        <f>+(((J9)-((J7-J5+$B$5)+((J7-J5+$B$5)*6%)))/((J7-J5+$B$5)+((J7-J5+$B$5)*6%)))</f>
        <v>4.0909090909090826E-2</v>
      </c>
      <c r="K10" s="138">
        <f>(K9-J9)/J9</f>
        <v>2.13743966904161E-2</v>
      </c>
      <c r="L10" s="137">
        <f>(L9-K9)/K9</f>
        <v>2.182718271827179E-2</v>
      </c>
      <c r="M10" s="136">
        <f>(M9-L9)/L9</f>
        <v>2.0480070469059627E-2</v>
      </c>
      <c r="N10" s="135">
        <f>(N9-M9)/M9</f>
        <v>2.0932239965472704E-2</v>
      </c>
      <c r="O10" s="140"/>
      <c r="P10" s="33"/>
      <c r="Q10" s="141">
        <f>+(((Q9)-((Q7-Q5+$B$5)+((Q7-Q5+$B$5)*6%)))/((Q7-Q5+$B$5)+((Q7-Q5+$B$5)*6%)))</f>
        <v>2.9999999999999936E-2</v>
      </c>
      <c r="R10" s="138">
        <f>(R9-Q9)/Q9</f>
        <v>1.5840572304547853E-2</v>
      </c>
      <c r="S10" s="137">
        <f>(S9-R9)/R9</f>
        <v>1.6264252179745108E-2</v>
      </c>
      <c r="T10" s="136">
        <f>(T9-S9)/S9</f>
        <v>1.5344002639828373E-2</v>
      </c>
      <c r="U10" s="135">
        <f>(U9-T9)/T9</f>
        <v>1.5762105947351508E-2</v>
      </c>
      <c r="V10" s="140"/>
      <c r="W10" s="33"/>
      <c r="X10" s="139">
        <f>+(((X9)-((X7-X5+$B$5)+((X7-X5+$B$5)*6%)))/((X7-X5+$B$5)+((X7-X5+$B$5)*6%)))</f>
        <v>2.2500000000000041E-2</v>
      </c>
      <c r="Y10" s="138">
        <f>(Y9-X9)/X9</f>
        <v>1.1967571741088633E-2</v>
      </c>
      <c r="Z10" s="137">
        <f>(Z9-Y9)/Y9</f>
        <v>1.2334689725330599E-2</v>
      </c>
      <c r="AA10" s="136">
        <f>(AA9-Z9)/Z9</f>
        <v>1.1681949503830979E-2</v>
      </c>
      <c r="AB10" s="135">
        <f>(AB9-AA9)/AA9</f>
        <v>1.2043704991308982E-2</v>
      </c>
    </row>
    <row r="11" spans="1:28" ht="15.6" x14ac:dyDescent="0.3">
      <c r="A11" s="62" t="s">
        <v>33</v>
      </c>
      <c r="B11" s="33"/>
      <c r="C11" s="177">
        <f>+C9-B9</f>
        <v>0.90630000000000166</v>
      </c>
      <c r="D11" s="178">
        <f>+D9-C9</f>
        <v>0.49289999999999878</v>
      </c>
      <c r="E11" s="179">
        <f>+E9-D9</f>
        <v>0.51409999999999911</v>
      </c>
      <c r="F11" s="180">
        <f>+F9-E9</f>
        <v>0.49290000000000234</v>
      </c>
      <c r="G11" s="181">
        <f>+G9-F9</f>
        <v>0.51409999999999911</v>
      </c>
      <c r="H11" s="182"/>
      <c r="I11" s="176"/>
      <c r="J11" s="183">
        <f>+((J9)-(((B5)+(6*B6))+(((B5)+(6*B6))*6%)))</f>
        <v>0.90629999999999811</v>
      </c>
      <c r="K11" s="184">
        <f>+K9-J9</f>
        <v>0.49290000000000234</v>
      </c>
      <c r="L11" s="185">
        <f>+L9-K9</f>
        <v>0.51409999999999911</v>
      </c>
      <c r="M11" s="186">
        <f>+M9-L9</f>
        <v>0.49289999999999878</v>
      </c>
      <c r="N11" s="187">
        <f>+N9-M9</f>
        <v>0.51410000000000267</v>
      </c>
      <c r="O11" s="182"/>
      <c r="P11" s="176"/>
      <c r="Q11" s="183">
        <f>+((Q9)-(((B5)+(10*B6))+(((B5)+(10*B6))*6%)))</f>
        <v>0.90629999999999811</v>
      </c>
      <c r="R11" s="184">
        <f>+R9-Q9</f>
        <v>0.49290000000000234</v>
      </c>
      <c r="S11" s="185">
        <f>+S9-R9</f>
        <v>0.51409999999999911</v>
      </c>
      <c r="T11" s="186">
        <f>+T9-S9</f>
        <v>0.49289999999999878</v>
      </c>
      <c r="U11" s="187">
        <f>+U9-T9</f>
        <v>0.51410000000000622</v>
      </c>
      <c r="V11" s="182"/>
      <c r="W11" s="176"/>
      <c r="X11" s="183">
        <f>+((X9)-(((B5)+(15*B6))+(((B5)+(15*B6))*6%)))</f>
        <v>0.90630000000000166</v>
      </c>
      <c r="Y11" s="184">
        <f>+Y9-X9</f>
        <v>0.49289999999999878</v>
      </c>
      <c r="Z11" s="185">
        <f>+Z9-Y9</f>
        <v>0.51409999999999911</v>
      </c>
      <c r="AA11" s="186">
        <f>+AA9-Z9</f>
        <v>0.49289999999999168</v>
      </c>
      <c r="AB11" s="187">
        <f>+AB9-AA9</f>
        <v>0.51410000000001332</v>
      </c>
    </row>
    <row r="12" spans="1:28" ht="15.6" x14ac:dyDescent="0.3">
      <c r="A12" s="158" t="s">
        <v>32</v>
      </c>
      <c r="B12" s="133"/>
      <c r="C12" s="132"/>
      <c r="D12" s="132"/>
      <c r="E12" s="132"/>
      <c r="F12" s="131"/>
      <c r="G12" s="131"/>
      <c r="H12" s="134"/>
      <c r="I12" s="133"/>
      <c r="J12" s="126"/>
      <c r="K12" s="132"/>
      <c r="L12" s="132"/>
      <c r="M12" s="131"/>
      <c r="N12" s="131"/>
      <c r="O12" s="134"/>
      <c r="P12" s="133"/>
      <c r="Q12" s="132"/>
      <c r="R12" s="132"/>
      <c r="S12" s="132"/>
      <c r="T12" s="131"/>
      <c r="U12" s="131"/>
      <c r="V12" s="134"/>
      <c r="W12" s="133"/>
      <c r="X12" s="132"/>
      <c r="Y12" s="132"/>
      <c r="Z12" s="132"/>
      <c r="AA12" s="131"/>
      <c r="AB12" s="131"/>
    </row>
    <row r="13" spans="1:28" s="1" customFormat="1" ht="15.6" x14ac:dyDescent="0.3">
      <c r="A13" s="130" t="s">
        <v>31</v>
      </c>
      <c r="B13" s="128"/>
      <c r="C13" s="127">
        <v>9.5000000000000001E-2</v>
      </c>
      <c r="D13" s="127">
        <v>9.5000000000000001E-2</v>
      </c>
      <c r="E13" s="127">
        <v>9.5000000000000001E-2</v>
      </c>
      <c r="F13" s="126">
        <v>8.5000000000000006E-2</v>
      </c>
      <c r="G13" s="126">
        <v>0.02</v>
      </c>
      <c r="H13" s="129"/>
      <c r="I13" s="128"/>
      <c r="J13" s="127">
        <v>9.5000000000000001E-2</v>
      </c>
      <c r="K13" s="127">
        <v>9.5000000000000001E-2</v>
      </c>
      <c r="L13" s="127">
        <v>9.5000000000000001E-2</v>
      </c>
      <c r="M13" s="126">
        <v>8.5000000000000006E-2</v>
      </c>
      <c r="N13" s="126">
        <v>0.02</v>
      </c>
      <c r="O13" s="129"/>
      <c r="P13" s="128"/>
      <c r="Q13" s="127">
        <v>9.5000000000000001E-2</v>
      </c>
      <c r="R13" s="127">
        <v>9.5000000000000001E-2</v>
      </c>
      <c r="S13" s="127">
        <v>9.5000000000000001E-2</v>
      </c>
      <c r="T13" s="126">
        <v>8.5000000000000006E-2</v>
      </c>
      <c r="U13" s="126">
        <v>0.02</v>
      </c>
      <c r="V13" s="129"/>
      <c r="W13" s="128"/>
      <c r="X13" s="127">
        <v>9.5000000000000001E-2</v>
      </c>
      <c r="Y13" s="127">
        <v>9.5000000000000001E-2</v>
      </c>
      <c r="Z13" s="127">
        <v>9.5000000000000001E-2</v>
      </c>
      <c r="AA13" s="126">
        <v>8.5000000000000006E-2</v>
      </c>
      <c r="AB13" s="126">
        <v>0.02</v>
      </c>
    </row>
    <row r="14" spans="1:28" ht="15.6" x14ac:dyDescent="0.3">
      <c r="A14" s="77" t="s">
        <v>8</v>
      </c>
      <c r="B14" s="25">
        <v>38.5</v>
      </c>
      <c r="C14" s="124">
        <v>44.66</v>
      </c>
      <c r="D14" s="123">
        <v>51.36</v>
      </c>
      <c r="E14" s="122">
        <v>58.71</v>
      </c>
      <c r="F14" s="121">
        <v>65.930000000000007</v>
      </c>
      <c r="G14" s="120">
        <v>67.77</v>
      </c>
      <c r="H14" s="125"/>
      <c r="I14" s="25">
        <v>38.5</v>
      </c>
      <c r="J14" s="124">
        <v>44.66</v>
      </c>
      <c r="K14" s="123">
        <v>51.36</v>
      </c>
      <c r="L14" s="122">
        <v>58.71</v>
      </c>
      <c r="M14" s="121">
        <v>65.930000000000007</v>
      </c>
      <c r="N14" s="120">
        <v>67.77</v>
      </c>
      <c r="O14" s="125"/>
      <c r="P14" s="25">
        <v>38.5</v>
      </c>
      <c r="Q14" s="124">
        <v>44.66</v>
      </c>
      <c r="R14" s="123">
        <v>51.36</v>
      </c>
      <c r="S14" s="122">
        <v>58.71</v>
      </c>
      <c r="T14" s="121">
        <v>65.930000000000007</v>
      </c>
      <c r="U14" s="120">
        <v>67.77</v>
      </c>
      <c r="V14" s="125"/>
      <c r="W14" s="25">
        <v>38.5</v>
      </c>
      <c r="X14" s="124">
        <v>44.66</v>
      </c>
      <c r="Y14" s="123">
        <v>51.36</v>
      </c>
      <c r="Z14" s="122">
        <v>58.71</v>
      </c>
      <c r="AA14" s="121">
        <v>65.930000000000007</v>
      </c>
      <c r="AB14" s="120">
        <v>67.77</v>
      </c>
    </row>
    <row r="15" spans="1:28" ht="15.6" thickBot="1" x14ac:dyDescent="0.3">
      <c r="A15" s="71" t="s">
        <v>7</v>
      </c>
      <c r="B15" s="13">
        <v>6</v>
      </c>
      <c r="C15" s="68"/>
      <c r="D15" s="67"/>
      <c r="E15" s="66"/>
      <c r="F15" s="65"/>
      <c r="G15" s="64"/>
      <c r="H15" s="70"/>
      <c r="I15" s="13">
        <v>6</v>
      </c>
      <c r="J15" s="68"/>
      <c r="K15" s="67"/>
      <c r="L15" s="66"/>
      <c r="M15" s="65"/>
      <c r="N15" s="64"/>
      <c r="O15" s="70"/>
      <c r="P15" s="13">
        <v>6</v>
      </c>
      <c r="Q15" s="68"/>
      <c r="R15" s="67"/>
      <c r="S15" s="66"/>
      <c r="T15" s="65"/>
      <c r="U15" s="64"/>
      <c r="V15" s="70"/>
      <c r="W15" s="13">
        <v>6</v>
      </c>
      <c r="X15" s="68"/>
      <c r="Y15" s="67"/>
      <c r="Z15" s="66"/>
      <c r="AA15" s="65"/>
      <c r="AB15" s="64"/>
    </row>
    <row r="16" spans="1:28" ht="15" x14ac:dyDescent="0.25">
      <c r="A16" s="119" t="s">
        <v>30</v>
      </c>
      <c r="B16" s="117">
        <f>+(B14)+((3)*B15)</f>
        <v>56.5</v>
      </c>
      <c r="C16" s="61">
        <f>+(C14)+((3)*(B15))</f>
        <v>62.66</v>
      </c>
      <c r="D16" s="60">
        <f>+(D14)+((3)*($B$15))</f>
        <v>69.36</v>
      </c>
      <c r="E16" s="59">
        <f>+(E14)+((3)*($B$15))</f>
        <v>76.710000000000008</v>
      </c>
      <c r="F16" s="116">
        <f>+(F14)+((3)*($B$15))</f>
        <v>83.93</v>
      </c>
      <c r="G16" s="115">
        <f>+(G14)+((3)*($B$15))</f>
        <v>85.77</v>
      </c>
      <c r="H16" s="118"/>
      <c r="I16" s="117">
        <f>+(I14)+((6)*I15)</f>
        <v>74.5</v>
      </c>
      <c r="J16" s="61">
        <f>+(J14)+((6)*($B$15))</f>
        <v>80.66</v>
      </c>
      <c r="K16" s="60">
        <f>+(K14)+((6)*($B$15))</f>
        <v>87.36</v>
      </c>
      <c r="L16" s="59">
        <f>+(L14)+((6)*($B$15))</f>
        <v>94.710000000000008</v>
      </c>
      <c r="M16" s="116">
        <f>+(M14)+((6)*($B$15))</f>
        <v>101.93</v>
      </c>
      <c r="N16" s="115">
        <f>+(N14)+((6)*($B$15))</f>
        <v>103.77</v>
      </c>
      <c r="O16" s="118"/>
      <c r="P16" s="117">
        <f>+(P14)+((10)*P15)</f>
        <v>98.5</v>
      </c>
      <c r="Q16" s="61">
        <f>+(Q14)+((10)*($B$15))</f>
        <v>104.66</v>
      </c>
      <c r="R16" s="60">
        <f>+(R14)+((10)*($B$15))</f>
        <v>111.36</v>
      </c>
      <c r="S16" s="59">
        <f>+(S14)+((10)*($B$15))</f>
        <v>118.71000000000001</v>
      </c>
      <c r="T16" s="116">
        <f>+(T14)+((10)*($B$15))</f>
        <v>125.93</v>
      </c>
      <c r="U16" s="115">
        <f>+(U14)+((10)*($B$15))</f>
        <v>127.77</v>
      </c>
      <c r="V16" s="118"/>
      <c r="W16" s="117">
        <f>+(W14)+((15)*W15)</f>
        <v>128.5</v>
      </c>
      <c r="X16" s="61">
        <f>+(X14)+((15)*($B$15))</f>
        <v>134.66</v>
      </c>
      <c r="Y16" s="60">
        <f>+(Y14)+((15)*($B$15))</f>
        <v>141.36000000000001</v>
      </c>
      <c r="Z16" s="59">
        <f>+(Z14)+((15)*($B$15))</f>
        <v>148.71</v>
      </c>
      <c r="AA16" s="116">
        <f>+(AA14)+((15)*($B$15))</f>
        <v>155.93</v>
      </c>
      <c r="AB16" s="115">
        <f>+(AB14)+((15)*($B$15))</f>
        <v>157.76999999999998</v>
      </c>
    </row>
    <row r="17" spans="1:30" ht="15" x14ac:dyDescent="0.25">
      <c r="A17" s="114" t="s">
        <v>5</v>
      </c>
      <c r="B17" s="57">
        <f t="shared" ref="B17:G17" si="8">B16*0.06</f>
        <v>3.3899999999999997</v>
      </c>
      <c r="C17" s="56">
        <f t="shared" si="8"/>
        <v>3.7595999999999998</v>
      </c>
      <c r="D17" s="55">
        <f t="shared" si="8"/>
        <v>4.1616</v>
      </c>
      <c r="E17" s="54">
        <f t="shared" si="8"/>
        <v>4.6026000000000007</v>
      </c>
      <c r="F17" s="53">
        <f t="shared" si="8"/>
        <v>5.0358000000000001</v>
      </c>
      <c r="G17" s="52">
        <f t="shared" si="8"/>
        <v>5.1461999999999994</v>
      </c>
      <c r="H17" s="58"/>
      <c r="I17" s="57">
        <f t="shared" ref="I17:N17" si="9">I16*0.06</f>
        <v>4.47</v>
      </c>
      <c r="J17" s="56">
        <f t="shared" si="9"/>
        <v>4.8395999999999999</v>
      </c>
      <c r="K17" s="55">
        <f t="shared" si="9"/>
        <v>5.2416</v>
      </c>
      <c r="L17" s="54">
        <f t="shared" si="9"/>
        <v>5.6825999999999999</v>
      </c>
      <c r="M17" s="53">
        <f t="shared" si="9"/>
        <v>6.1158000000000001</v>
      </c>
      <c r="N17" s="52">
        <f t="shared" si="9"/>
        <v>6.2261999999999995</v>
      </c>
      <c r="O17" s="58"/>
      <c r="P17" s="57">
        <f t="shared" ref="P17:U17" si="10">P16*0.06</f>
        <v>5.91</v>
      </c>
      <c r="Q17" s="56">
        <f t="shared" si="10"/>
        <v>6.2795999999999994</v>
      </c>
      <c r="R17" s="55">
        <f t="shared" si="10"/>
        <v>6.6815999999999995</v>
      </c>
      <c r="S17" s="54">
        <f t="shared" si="10"/>
        <v>7.1226000000000003</v>
      </c>
      <c r="T17" s="53">
        <f t="shared" si="10"/>
        <v>7.5558000000000005</v>
      </c>
      <c r="U17" s="52">
        <f t="shared" si="10"/>
        <v>7.6661999999999999</v>
      </c>
      <c r="V17" s="58"/>
      <c r="W17" s="57">
        <f t="shared" ref="W17:AB17" si="11">W16*0.06</f>
        <v>7.71</v>
      </c>
      <c r="X17" s="56">
        <f t="shared" si="11"/>
        <v>8.0795999999999992</v>
      </c>
      <c r="Y17" s="55">
        <f t="shared" si="11"/>
        <v>8.4816000000000003</v>
      </c>
      <c r="Z17" s="54">
        <f t="shared" si="11"/>
        <v>8.922600000000001</v>
      </c>
      <c r="AA17" s="53">
        <f t="shared" si="11"/>
        <v>9.3558000000000003</v>
      </c>
      <c r="AB17" s="52">
        <f t="shared" si="11"/>
        <v>9.4661999999999988</v>
      </c>
    </row>
    <row r="18" spans="1:30" ht="15.6" x14ac:dyDescent="0.3">
      <c r="A18" s="160" t="s">
        <v>29</v>
      </c>
      <c r="B18" s="46">
        <f t="shared" ref="B18:G18" si="12">SUM(B16:B17)</f>
        <v>59.89</v>
      </c>
      <c r="C18" s="45">
        <f t="shared" si="12"/>
        <v>66.419600000000003</v>
      </c>
      <c r="D18" s="44">
        <f t="shared" si="12"/>
        <v>73.521600000000007</v>
      </c>
      <c r="E18" s="43">
        <f t="shared" si="12"/>
        <v>81.312600000000003</v>
      </c>
      <c r="F18" s="42">
        <f t="shared" si="12"/>
        <v>88.965800000000002</v>
      </c>
      <c r="G18" s="41">
        <f t="shared" si="12"/>
        <v>90.916199999999989</v>
      </c>
      <c r="H18" s="47"/>
      <c r="I18" s="46">
        <f t="shared" ref="I18:N18" si="13">SUM(I16:I17)</f>
        <v>78.97</v>
      </c>
      <c r="J18" s="45">
        <f t="shared" si="13"/>
        <v>85.499600000000001</v>
      </c>
      <c r="K18" s="44">
        <f t="shared" si="13"/>
        <v>92.601600000000005</v>
      </c>
      <c r="L18" s="43">
        <f t="shared" si="13"/>
        <v>100.3926</v>
      </c>
      <c r="M18" s="42">
        <f t="shared" si="13"/>
        <v>108.04580000000001</v>
      </c>
      <c r="N18" s="41">
        <f t="shared" si="13"/>
        <v>109.9962</v>
      </c>
      <c r="O18" s="47"/>
      <c r="P18" s="46">
        <f t="shared" ref="P18:U18" si="14">SUM(P16:P17)</f>
        <v>104.41</v>
      </c>
      <c r="Q18" s="45">
        <f t="shared" si="14"/>
        <v>110.9396</v>
      </c>
      <c r="R18" s="44">
        <f t="shared" si="14"/>
        <v>118.0416</v>
      </c>
      <c r="S18" s="43">
        <f t="shared" si="14"/>
        <v>125.83260000000001</v>
      </c>
      <c r="T18" s="42">
        <f t="shared" si="14"/>
        <v>133.48580000000001</v>
      </c>
      <c r="U18" s="41">
        <f t="shared" si="14"/>
        <v>135.43619999999999</v>
      </c>
      <c r="V18" s="47"/>
      <c r="W18" s="46">
        <f t="shared" ref="W18:AB18" si="15">SUM(W16:W17)</f>
        <v>136.21</v>
      </c>
      <c r="X18" s="45">
        <f t="shared" si="15"/>
        <v>142.7396</v>
      </c>
      <c r="Y18" s="44">
        <f t="shared" si="15"/>
        <v>149.84160000000003</v>
      </c>
      <c r="Z18" s="43">
        <f t="shared" si="15"/>
        <v>157.6326</v>
      </c>
      <c r="AA18" s="42">
        <f t="shared" si="15"/>
        <v>165.28579999999999</v>
      </c>
      <c r="AB18" s="41">
        <f t="shared" si="15"/>
        <v>167.23619999999997</v>
      </c>
    </row>
    <row r="19" spans="1:30" ht="15" x14ac:dyDescent="0.25">
      <c r="A19" s="77" t="s">
        <v>28</v>
      </c>
      <c r="B19" s="13"/>
      <c r="C19" s="32">
        <f>(C18-$B$18)/$B$18</f>
        <v>0.10902654867256641</v>
      </c>
      <c r="D19" s="31">
        <f>(D18-C18)/C18</f>
        <v>0.10692626875199494</v>
      </c>
      <c r="E19" s="30">
        <f>(E18-D18)/D18</f>
        <v>0.10596885813148783</v>
      </c>
      <c r="F19" s="106">
        <f>(F18-E18)/E18</f>
        <v>9.4120714378829337E-2</v>
      </c>
      <c r="G19" s="107">
        <f>(G18-F18)/F18</f>
        <v>2.1923031097342886E-2</v>
      </c>
      <c r="H19" s="70"/>
      <c r="I19" s="13"/>
      <c r="J19" s="37">
        <f>+(((J18)-((J16-J14+$B$14)+((J16-J14+$B$14)*6%)))/((J16-J14+$B$14)+((J16-J14+$B$14)*6%)))</f>
        <v>8.2684563758389285E-2</v>
      </c>
      <c r="K19" s="31">
        <f>(K18-J18)/J18</f>
        <v>8.3064716092239074E-2</v>
      </c>
      <c r="L19" s="30">
        <f>(L18-K18)/K18</f>
        <v>8.4134615384615349E-2</v>
      </c>
      <c r="M19" s="113">
        <f>(M18-L18)/L18</f>
        <v>7.6232710379051966E-2</v>
      </c>
      <c r="N19" s="112">
        <f>(N18-M18)/M18</f>
        <v>1.8051604041989484E-2</v>
      </c>
      <c r="O19" s="70"/>
      <c r="P19" s="13"/>
      <c r="Q19" s="32">
        <f>+(((Q18)-((Q16-Q14+$B$14)+((Q16-Q14+$B$14)*6%)))/((Q16-Q14+$B$14)+((Q16-Q14+$B$14)*6%)))</f>
        <v>6.2538071065989867E-2</v>
      </c>
      <c r="R19" s="31">
        <f>(R18-Q18)/Q18</f>
        <v>6.4016816357729822E-2</v>
      </c>
      <c r="S19" s="30">
        <f>(S18-R18)/R18</f>
        <v>6.6002155172413882E-2</v>
      </c>
      <c r="T19" s="111">
        <f>(T18-S18)/S18</f>
        <v>6.082048690085079E-2</v>
      </c>
      <c r="U19" s="110">
        <f>(U18-T18)/T18</f>
        <v>1.4611291987611966E-2</v>
      </c>
      <c r="V19" s="70"/>
      <c r="W19" s="13"/>
      <c r="X19" s="32">
        <f>+(((X18)-((X16-X14+$B$14)+((X16-X14+$B$14)*6%)))/((X16-X14+$B$14)+((X16-X14+$B$14)*6%)))</f>
        <v>4.7937743190661387E-2</v>
      </c>
      <c r="Y19" s="31">
        <f>(Y18-X18)/X18</f>
        <v>4.9754938363285539E-2</v>
      </c>
      <c r="Z19" s="30">
        <f>(Z18-Y18)/Y18</f>
        <v>5.1994906621391966E-2</v>
      </c>
      <c r="AA19" s="111">
        <f>(AA18-Z18)/Z18</f>
        <v>4.8550870822406014E-2</v>
      </c>
      <c r="AB19" s="110">
        <f>(AB18-AA18)/AA18</f>
        <v>1.1800166741486404E-2</v>
      </c>
    </row>
    <row r="20" spans="1:30" ht="15" x14ac:dyDescent="0.25">
      <c r="A20" s="77" t="s">
        <v>52</v>
      </c>
      <c r="B20" s="13"/>
      <c r="C20" s="198">
        <f>+C18-B18</f>
        <v>6.5296000000000021</v>
      </c>
      <c r="D20" s="199">
        <f t="shared" ref="D20:G20" si="16">+D18-C18</f>
        <v>7.1020000000000039</v>
      </c>
      <c r="E20" s="200">
        <f t="shared" si="16"/>
        <v>7.7909999999999968</v>
      </c>
      <c r="F20" s="201">
        <f t="shared" si="16"/>
        <v>7.6531999999999982</v>
      </c>
      <c r="G20" s="175">
        <f t="shared" si="16"/>
        <v>1.9503999999999877</v>
      </c>
      <c r="H20" s="173"/>
      <c r="I20" s="167"/>
      <c r="J20" s="202">
        <f t="shared" ref="J20:N20" si="17">+J18-I18</f>
        <v>6.5296000000000021</v>
      </c>
      <c r="K20" s="199">
        <f t="shared" si="17"/>
        <v>7.1020000000000039</v>
      </c>
      <c r="L20" s="200">
        <f t="shared" si="17"/>
        <v>7.7909999999999968</v>
      </c>
      <c r="M20" s="201">
        <f t="shared" si="17"/>
        <v>7.6532000000000124</v>
      </c>
      <c r="N20" s="175">
        <f t="shared" si="17"/>
        <v>1.9503999999999877</v>
      </c>
      <c r="O20" s="173"/>
      <c r="P20" s="167"/>
      <c r="Q20" s="202">
        <f t="shared" ref="Q20:U20" si="18">+Q18-P18</f>
        <v>6.5296000000000021</v>
      </c>
      <c r="R20" s="199">
        <f t="shared" si="18"/>
        <v>7.1020000000000039</v>
      </c>
      <c r="S20" s="200">
        <f t="shared" si="18"/>
        <v>7.791000000000011</v>
      </c>
      <c r="T20" s="201">
        <f t="shared" si="18"/>
        <v>7.6531999999999982</v>
      </c>
      <c r="U20" s="175">
        <f t="shared" si="18"/>
        <v>1.9503999999999735</v>
      </c>
      <c r="V20" s="173"/>
      <c r="W20" s="167"/>
      <c r="X20" s="202">
        <f t="shared" ref="X20:AB20" si="19">+X18-W18</f>
        <v>6.5295999999999879</v>
      </c>
      <c r="Y20" s="199">
        <f t="shared" si="19"/>
        <v>7.1020000000000323</v>
      </c>
      <c r="Z20" s="200">
        <f t="shared" si="19"/>
        <v>7.7909999999999684</v>
      </c>
      <c r="AA20" s="201">
        <f t="shared" si="19"/>
        <v>7.6531999999999982</v>
      </c>
      <c r="AB20" s="175">
        <f t="shared" si="19"/>
        <v>1.9503999999999735</v>
      </c>
    </row>
    <row r="21" spans="1:30" ht="15.6" x14ac:dyDescent="0.3">
      <c r="A21" s="159" t="s">
        <v>27</v>
      </c>
      <c r="B21" s="108">
        <f t="shared" ref="B21:G21" si="20">B9+B18</f>
        <v>76.001999999999995</v>
      </c>
      <c r="C21" s="97">
        <f t="shared" si="20"/>
        <v>83.437899999999999</v>
      </c>
      <c r="D21" s="96">
        <f t="shared" si="20"/>
        <v>91.032800000000009</v>
      </c>
      <c r="E21" s="95">
        <f t="shared" si="20"/>
        <v>99.337900000000005</v>
      </c>
      <c r="F21" s="73">
        <f t="shared" si="20"/>
        <v>107.48400000000001</v>
      </c>
      <c r="G21" s="72">
        <f t="shared" si="20"/>
        <v>109.9485</v>
      </c>
      <c r="H21" s="109"/>
      <c r="I21" s="108">
        <f t="shared" ref="I21:N21" si="21">I9+I18</f>
        <v>101.124</v>
      </c>
      <c r="J21" s="97">
        <f t="shared" si="21"/>
        <v>108.5599</v>
      </c>
      <c r="K21" s="96">
        <f t="shared" si="21"/>
        <v>116.15480000000001</v>
      </c>
      <c r="L21" s="95">
        <f t="shared" si="21"/>
        <v>124.4599</v>
      </c>
      <c r="M21" s="73">
        <f t="shared" si="21"/>
        <v>132.60600000000002</v>
      </c>
      <c r="N21" s="72">
        <f t="shared" si="21"/>
        <v>135.07050000000001</v>
      </c>
      <c r="O21" s="109"/>
      <c r="P21" s="108">
        <f t="shared" ref="P21:U21" si="22">P9+P18</f>
        <v>134.62</v>
      </c>
      <c r="Q21" s="97">
        <f t="shared" si="22"/>
        <v>142.05590000000001</v>
      </c>
      <c r="R21" s="96">
        <f t="shared" si="22"/>
        <v>149.6508</v>
      </c>
      <c r="S21" s="95">
        <f t="shared" si="22"/>
        <v>157.95590000000001</v>
      </c>
      <c r="T21" s="73">
        <f t="shared" si="22"/>
        <v>166.102</v>
      </c>
      <c r="U21" s="72">
        <f t="shared" si="22"/>
        <v>168.56649999999999</v>
      </c>
      <c r="V21" s="109"/>
      <c r="W21" s="108">
        <f t="shared" ref="W21:AB21" si="23">W9+W18</f>
        <v>176.49</v>
      </c>
      <c r="X21" s="97">
        <f t="shared" si="23"/>
        <v>183.92590000000001</v>
      </c>
      <c r="Y21" s="96">
        <f t="shared" si="23"/>
        <v>191.52080000000004</v>
      </c>
      <c r="Z21" s="95">
        <f t="shared" si="23"/>
        <v>199.82589999999999</v>
      </c>
      <c r="AA21" s="73">
        <f t="shared" si="23"/>
        <v>207.97199999999998</v>
      </c>
      <c r="AB21" s="72">
        <f t="shared" si="23"/>
        <v>210.43649999999997</v>
      </c>
    </row>
    <row r="22" spans="1:30" ht="15" x14ac:dyDescent="0.25">
      <c r="A22" s="77" t="s">
        <v>26</v>
      </c>
      <c r="B22" s="13"/>
      <c r="C22" s="32">
        <f>(C21-B21)/B21</f>
        <v>9.7838214783821528E-2</v>
      </c>
      <c r="D22" s="31">
        <f>(D21-C21)/C21</f>
        <v>9.1024582354062245E-2</v>
      </c>
      <c r="E22" s="30">
        <f>(E21-D21)/D21</f>
        <v>9.1231951560316674E-2</v>
      </c>
      <c r="F22" s="73">
        <f>(F21-E21)/E21</f>
        <v>8.2003948140639216E-2</v>
      </c>
      <c r="G22" s="72">
        <f>(G21-F21)/F21</f>
        <v>2.2928994082840111E-2</v>
      </c>
      <c r="H22" s="70"/>
      <c r="I22" s="13"/>
      <c r="J22" s="37">
        <f>+(J21-I21)/I21</f>
        <v>7.3532494758909897E-2</v>
      </c>
      <c r="K22" s="31">
        <f>(K21-J21)/J21</f>
        <v>6.9960455011473022E-2</v>
      </c>
      <c r="L22" s="30">
        <f>(L21-K21)/K21</f>
        <v>7.1500273772586193E-2</v>
      </c>
      <c r="M22" s="106">
        <f>(M21-L21)/L21</f>
        <v>6.5451603287484714E-2</v>
      </c>
      <c r="N22" s="107">
        <f>(N21-M21)/M21</f>
        <v>1.8585131894484311E-2</v>
      </c>
      <c r="O22" s="70"/>
      <c r="P22" s="13"/>
      <c r="Q22" s="32">
        <f>+(Q21-P21)/P21</f>
        <v>5.5236220472440971E-2</v>
      </c>
      <c r="R22" s="31">
        <f>(R21-Q21)/Q21</f>
        <v>5.3464164459202296E-2</v>
      </c>
      <c r="S22" s="30">
        <f>(S21-R21)/R21</f>
        <v>5.54965292534354E-2</v>
      </c>
      <c r="T22" s="73">
        <f>(T21-S21)/S21</f>
        <v>5.1571989397040496E-2</v>
      </c>
      <c r="U22" s="72">
        <f>(U21-T21)/T21</f>
        <v>1.4837268666241146E-2</v>
      </c>
      <c r="V22" s="70"/>
      <c r="W22" s="13"/>
      <c r="X22" s="32">
        <f>+(X21-W21)/W21</f>
        <v>4.2132132132132148E-2</v>
      </c>
      <c r="Y22" s="31">
        <f>(Y21-X21)/X21</f>
        <v>4.1293259948707729E-2</v>
      </c>
      <c r="Z22" s="30">
        <f>(Z21-Y21)/Y21</f>
        <v>4.3363958379455142E-2</v>
      </c>
      <c r="AA22" s="106">
        <f>(AA21-Z21)/Z21</f>
        <v>4.0765986791501951E-2</v>
      </c>
      <c r="AB22" s="105">
        <f>(AB21-AA21)/AA21</f>
        <v>1.1850152905198714E-2</v>
      </c>
    </row>
    <row r="23" spans="1:30" ht="15" x14ac:dyDescent="0.25">
      <c r="A23" s="77"/>
      <c r="B23" s="13"/>
      <c r="C23" s="68"/>
      <c r="D23" s="67"/>
      <c r="E23" s="66"/>
      <c r="F23" s="73"/>
      <c r="G23" s="72"/>
      <c r="H23" s="70"/>
      <c r="I23" s="13"/>
      <c r="J23" s="68"/>
      <c r="K23" s="67"/>
      <c r="L23" s="66"/>
      <c r="M23" s="73"/>
      <c r="N23" s="72"/>
      <c r="O23" s="70"/>
      <c r="P23" s="13"/>
      <c r="Q23" s="68"/>
      <c r="R23" s="67"/>
      <c r="S23" s="66"/>
      <c r="T23" s="73"/>
      <c r="U23" s="72"/>
      <c r="V23" s="70"/>
      <c r="W23" s="13"/>
      <c r="X23" s="68"/>
      <c r="Y23" s="67"/>
      <c r="Z23" s="66"/>
      <c r="AA23" s="73"/>
      <c r="AB23" s="72"/>
    </row>
    <row r="24" spans="1:30" ht="15.6" x14ac:dyDescent="0.3">
      <c r="A24" s="104" t="s">
        <v>25</v>
      </c>
      <c r="B24" s="83"/>
      <c r="C24" s="102">
        <f>C21-B21</f>
        <v>7.4359000000000037</v>
      </c>
      <c r="D24" s="101">
        <f>D21-C21</f>
        <v>7.5949000000000098</v>
      </c>
      <c r="E24" s="100">
        <f>E21-D21</f>
        <v>8.3050999999999959</v>
      </c>
      <c r="F24" s="99">
        <f>F21-E21</f>
        <v>8.1461000000000041</v>
      </c>
      <c r="G24" s="98">
        <f>G21-F21</f>
        <v>2.4644999999999868</v>
      </c>
      <c r="H24" s="103"/>
      <c r="I24" s="83"/>
      <c r="J24" s="102">
        <f>+J21-I21</f>
        <v>7.4359000000000037</v>
      </c>
      <c r="K24" s="101">
        <f>K21-J21</f>
        <v>7.5949000000000098</v>
      </c>
      <c r="L24" s="100">
        <f>L21-K21</f>
        <v>8.3050999999999959</v>
      </c>
      <c r="M24" s="99">
        <f>M21-L21</f>
        <v>8.1461000000000183</v>
      </c>
      <c r="N24" s="98">
        <f>N21-M21</f>
        <v>2.4644999999999868</v>
      </c>
      <c r="O24" s="103"/>
      <c r="P24" s="83"/>
      <c r="Q24" s="102">
        <f>+Q21-P21</f>
        <v>7.4359000000000037</v>
      </c>
      <c r="R24" s="101">
        <f>R21-Q21</f>
        <v>7.5948999999999955</v>
      </c>
      <c r="S24" s="100">
        <f>S21-R21</f>
        <v>8.3051000000000101</v>
      </c>
      <c r="T24" s="99">
        <f>T21-S21</f>
        <v>8.1460999999999899</v>
      </c>
      <c r="U24" s="98">
        <f>U21-T21</f>
        <v>2.4644999999999868</v>
      </c>
      <c r="V24" s="103"/>
      <c r="W24" s="83"/>
      <c r="X24" s="102">
        <f>+X21-W21</f>
        <v>7.4359000000000037</v>
      </c>
      <c r="Y24" s="101">
        <f>Y21-X21</f>
        <v>7.594900000000024</v>
      </c>
      <c r="Z24" s="100">
        <f>Z21-Y21</f>
        <v>8.3050999999999533</v>
      </c>
      <c r="AA24" s="99">
        <f>AA21-Z21</f>
        <v>8.1460999999999899</v>
      </c>
      <c r="AB24" s="98">
        <f>AB21-AA21</f>
        <v>2.4644999999999868</v>
      </c>
    </row>
    <row r="25" spans="1:30" ht="15" x14ac:dyDescent="0.25">
      <c r="A25" s="77"/>
      <c r="B25" s="13"/>
      <c r="C25" s="97"/>
      <c r="D25" s="96"/>
      <c r="E25" s="95"/>
      <c r="F25" s="73"/>
      <c r="G25" s="72"/>
      <c r="H25" s="70"/>
      <c r="I25" s="13"/>
      <c r="J25" s="97"/>
      <c r="K25" s="96"/>
      <c r="L25" s="95"/>
      <c r="M25" s="73"/>
      <c r="N25" s="72"/>
      <c r="O25" s="70"/>
      <c r="P25" s="13"/>
      <c r="Q25" s="97"/>
      <c r="R25" s="96"/>
      <c r="S25" s="95"/>
      <c r="T25" s="73"/>
      <c r="U25" s="72"/>
      <c r="V25" s="70"/>
      <c r="W25" s="13"/>
      <c r="X25" s="97"/>
      <c r="Y25" s="96"/>
      <c r="Z25" s="95"/>
      <c r="AA25" s="73"/>
      <c r="AB25" s="72"/>
    </row>
    <row r="26" spans="1:30" ht="15.6" x14ac:dyDescent="0.3">
      <c r="A26" s="149" t="s">
        <v>1</v>
      </c>
      <c r="B26" s="150"/>
      <c r="C26" s="151">
        <f>C24*6</f>
        <v>44.615400000000022</v>
      </c>
      <c r="D26" s="152">
        <f>D24*6</f>
        <v>45.569400000000059</v>
      </c>
      <c r="E26" s="153">
        <f>E24*6</f>
        <v>49.830599999999976</v>
      </c>
      <c r="F26" s="154">
        <f>F24*6</f>
        <v>48.876600000000025</v>
      </c>
      <c r="G26" s="155">
        <f>G24*6</f>
        <v>14.786999999999921</v>
      </c>
      <c r="H26" s="156"/>
      <c r="I26" s="150"/>
      <c r="J26" s="151">
        <f>J24*6</f>
        <v>44.615400000000022</v>
      </c>
      <c r="K26" s="152">
        <f>K24*6</f>
        <v>45.569400000000059</v>
      </c>
      <c r="L26" s="153">
        <f>L24*6</f>
        <v>49.830599999999976</v>
      </c>
      <c r="M26" s="154">
        <f>M24*6</f>
        <v>48.87660000000011</v>
      </c>
      <c r="N26" s="155">
        <f>N24*6</f>
        <v>14.786999999999921</v>
      </c>
      <c r="O26" s="156"/>
      <c r="P26" s="150"/>
      <c r="Q26" s="151">
        <f>Q24*6</f>
        <v>44.615400000000022</v>
      </c>
      <c r="R26" s="152">
        <f>R24*6</f>
        <v>45.569399999999973</v>
      </c>
      <c r="S26" s="153">
        <f>S24*6</f>
        <v>49.830600000000061</v>
      </c>
      <c r="T26" s="154">
        <f>T24*6</f>
        <v>48.876599999999939</v>
      </c>
      <c r="U26" s="155">
        <f>U24*6</f>
        <v>14.786999999999921</v>
      </c>
      <c r="V26" s="156"/>
      <c r="W26" s="150"/>
      <c r="X26" s="151">
        <f>X24*6</f>
        <v>44.615400000000022</v>
      </c>
      <c r="Y26" s="152">
        <f>Y24*6</f>
        <v>45.569400000000144</v>
      </c>
      <c r="Z26" s="153">
        <f>Z24*6</f>
        <v>49.83059999999972</v>
      </c>
      <c r="AA26" s="154">
        <f>AA24*6</f>
        <v>48.876599999999939</v>
      </c>
      <c r="AB26" s="155">
        <f>AB24*6</f>
        <v>14.786999999999921</v>
      </c>
      <c r="AC26" s="148"/>
      <c r="AD26" s="148"/>
    </row>
    <row r="27" spans="1:30" ht="15.6" x14ac:dyDescent="0.3">
      <c r="A27" s="5" t="s">
        <v>0</v>
      </c>
      <c r="B27" s="1"/>
      <c r="C27" s="147"/>
      <c r="D27" s="147"/>
      <c r="E27" s="147"/>
      <c r="F27" s="146"/>
      <c r="G27" s="145">
        <f>+(G21-B21)/B21</f>
        <v>0.44665271966527198</v>
      </c>
      <c r="H27" s="146"/>
      <c r="J27" s="3"/>
      <c r="K27" s="147"/>
      <c r="L27" s="147"/>
      <c r="M27" s="146"/>
      <c r="N27" s="145">
        <f>+(N21-I21)/I21</f>
        <v>0.33569182389937124</v>
      </c>
      <c r="O27" s="146"/>
      <c r="Q27" s="147"/>
      <c r="R27" s="147"/>
      <c r="S27" s="147"/>
      <c r="T27" s="146"/>
      <c r="U27" s="145">
        <f>+(U21-P21)/P21</f>
        <v>0.25216535433070852</v>
      </c>
      <c r="V27" s="146"/>
      <c r="X27" s="147"/>
      <c r="Y27" s="147"/>
      <c r="Z27" s="147"/>
      <c r="AA27" s="146"/>
      <c r="AB27" s="145">
        <f>+(AB21-W21)/W21</f>
        <v>0.1923423423423421</v>
      </c>
    </row>
    <row r="28" spans="1:30" s="88" customFormat="1" ht="15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 t="s">
        <v>23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30" ht="15.75" customHeight="1" x14ac:dyDescent="0.3">
      <c r="A29" s="144" t="s">
        <v>24</v>
      </c>
      <c r="B29" s="87"/>
      <c r="C29" s="91" t="s">
        <v>22</v>
      </c>
      <c r="D29" s="77"/>
      <c r="E29" s="77"/>
      <c r="G29" s="85"/>
      <c r="H29" s="88"/>
      <c r="I29" s="87"/>
      <c r="J29" s="90" t="s">
        <v>21</v>
      </c>
      <c r="K29" s="77"/>
      <c r="L29" s="77"/>
      <c r="N29" s="85"/>
      <c r="O29" s="88"/>
      <c r="P29" s="87"/>
      <c r="Q29" s="90" t="s">
        <v>20</v>
      </c>
      <c r="R29" s="77"/>
      <c r="S29" s="77"/>
      <c r="U29" s="85"/>
      <c r="V29" s="88"/>
      <c r="W29" s="87"/>
      <c r="X29" s="90" t="s">
        <v>19</v>
      </c>
      <c r="Y29" s="77"/>
      <c r="Z29" s="77"/>
      <c r="AB29" s="85"/>
    </row>
    <row r="30" spans="1:30" ht="16.5" customHeight="1" x14ac:dyDescent="0.3">
      <c r="A30" s="89"/>
      <c r="B30" s="87"/>
      <c r="C30" s="86" t="s">
        <v>18</v>
      </c>
      <c r="D30" s="77"/>
      <c r="E30" s="77"/>
      <c r="G30" s="85"/>
      <c r="H30" s="88"/>
      <c r="I30" s="87"/>
      <c r="J30" s="86" t="s">
        <v>17</v>
      </c>
      <c r="K30" s="77"/>
      <c r="L30" s="77"/>
      <c r="N30" s="85"/>
      <c r="O30" s="88"/>
      <c r="P30" s="87"/>
      <c r="Q30" s="86" t="s">
        <v>16</v>
      </c>
      <c r="R30" s="77"/>
      <c r="S30" s="77"/>
      <c r="U30" s="85"/>
      <c r="V30" s="88"/>
      <c r="W30" s="87"/>
      <c r="X30" s="86" t="s">
        <v>15</v>
      </c>
      <c r="Y30" s="77"/>
      <c r="Z30" s="77"/>
      <c r="AB30" s="85"/>
    </row>
    <row r="31" spans="1:30" ht="15.6" x14ac:dyDescent="0.3">
      <c r="A31" s="157" t="s">
        <v>14</v>
      </c>
      <c r="B31" s="83" t="s">
        <v>13</v>
      </c>
      <c r="C31" s="82" t="s">
        <v>12</v>
      </c>
      <c r="D31" s="81" t="s">
        <v>11</v>
      </c>
      <c r="E31" s="80" t="s">
        <v>10</v>
      </c>
      <c r="F31" s="79" t="s">
        <v>9</v>
      </c>
      <c r="G31" s="78"/>
      <c r="H31" s="84"/>
      <c r="I31" s="83" t="s">
        <v>13</v>
      </c>
      <c r="J31" s="82" t="s">
        <v>12</v>
      </c>
      <c r="K31" s="81" t="s">
        <v>11</v>
      </c>
      <c r="L31" s="80" t="s">
        <v>10</v>
      </c>
      <c r="M31" s="79" t="s">
        <v>9</v>
      </c>
      <c r="N31" s="78"/>
      <c r="O31" s="84"/>
      <c r="P31" s="83" t="s">
        <v>13</v>
      </c>
      <c r="Q31" s="82" t="s">
        <v>12</v>
      </c>
      <c r="R31" s="81" t="s">
        <v>11</v>
      </c>
      <c r="S31" s="80" t="s">
        <v>10</v>
      </c>
      <c r="T31" s="79" t="s">
        <v>9</v>
      </c>
      <c r="U31" s="78"/>
      <c r="V31" s="84"/>
      <c r="W31" s="83" t="s">
        <v>13</v>
      </c>
      <c r="X31" s="82" t="s">
        <v>12</v>
      </c>
      <c r="Y31" s="81" t="s">
        <v>11</v>
      </c>
      <c r="Z31" s="80" t="s">
        <v>10</v>
      </c>
      <c r="AA31" s="79" t="s">
        <v>9</v>
      </c>
      <c r="AB31" s="78"/>
    </row>
    <row r="32" spans="1:30" ht="15" x14ac:dyDescent="0.25">
      <c r="A32" s="77" t="s">
        <v>8</v>
      </c>
      <c r="B32" s="76">
        <f t="shared" ref="B32:G32" si="24">+B5*185%</f>
        <v>17.574999999999999</v>
      </c>
      <c r="C32" s="68">
        <f t="shared" si="24"/>
        <v>19.156750000000002</v>
      </c>
      <c r="D32" s="67">
        <f t="shared" si="24"/>
        <v>20.017000000000003</v>
      </c>
      <c r="E32" s="74">
        <f t="shared" si="24"/>
        <v>20.914249999999999</v>
      </c>
      <c r="F32" s="73">
        <f t="shared" si="24"/>
        <v>21.7745</v>
      </c>
      <c r="G32" s="72">
        <f t="shared" si="24"/>
        <v>22.671750000000003</v>
      </c>
      <c r="H32" s="70"/>
      <c r="I32" s="76">
        <f t="shared" ref="I32:N32" si="25">+I5*185%</f>
        <v>17.574999999999999</v>
      </c>
      <c r="J32" s="68">
        <f t="shared" si="25"/>
        <v>19.156750000000002</v>
      </c>
      <c r="K32" s="75">
        <f t="shared" si="25"/>
        <v>20.017000000000003</v>
      </c>
      <c r="L32" s="74">
        <f t="shared" si="25"/>
        <v>20.914249999999999</v>
      </c>
      <c r="M32" s="73">
        <f t="shared" si="25"/>
        <v>21.7745</v>
      </c>
      <c r="N32" s="72">
        <f t="shared" si="25"/>
        <v>22.671750000000003</v>
      </c>
      <c r="O32" s="70"/>
      <c r="P32" s="76">
        <f t="shared" ref="P32:U32" si="26">+P5*185%</f>
        <v>17.574999999999999</v>
      </c>
      <c r="Q32" s="68">
        <f t="shared" si="26"/>
        <v>19.156750000000002</v>
      </c>
      <c r="R32" s="75">
        <f t="shared" si="26"/>
        <v>20.017000000000003</v>
      </c>
      <c r="S32" s="74">
        <f t="shared" si="26"/>
        <v>20.914249999999999</v>
      </c>
      <c r="T32" s="73">
        <f t="shared" si="26"/>
        <v>21.7745</v>
      </c>
      <c r="U32" s="72">
        <f t="shared" si="26"/>
        <v>22.671750000000003</v>
      </c>
      <c r="V32" s="70"/>
      <c r="W32" s="76">
        <f t="shared" ref="W32:AB32" si="27">+W5*185%</f>
        <v>17.574999999999999</v>
      </c>
      <c r="X32" s="68">
        <f t="shared" si="27"/>
        <v>19.156750000000002</v>
      </c>
      <c r="Y32" s="75">
        <f t="shared" si="27"/>
        <v>20.017000000000003</v>
      </c>
      <c r="Z32" s="74">
        <f t="shared" si="27"/>
        <v>20.914249999999999</v>
      </c>
      <c r="AA32" s="73">
        <f t="shared" si="27"/>
        <v>21.7745</v>
      </c>
      <c r="AB32" s="72">
        <f t="shared" si="27"/>
        <v>22.671750000000003</v>
      </c>
    </row>
    <row r="33" spans="1:28" ht="15.6" thickBot="1" x14ac:dyDescent="0.3">
      <c r="A33" s="71" t="s">
        <v>7</v>
      </c>
      <c r="B33" s="69">
        <f>+B6*185%</f>
        <v>3.5150000000000001</v>
      </c>
      <c r="C33" s="68"/>
      <c r="D33" s="67"/>
      <c r="E33" s="66"/>
      <c r="F33" s="65"/>
      <c r="G33" s="64"/>
      <c r="H33" s="70"/>
      <c r="I33" s="69">
        <f>+I6*185%</f>
        <v>3.5150000000000001</v>
      </c>
      <c r="J33" s="68"/>
      <c r="K33" s="67"/>
      <c r="L33" s="66"/>
      <c r="M33" s="65"/>
      <c r="N33" s="64"/>
      <c r="O33" s="70"/>
      <c r="P33" s="69">
        <f>+P6*185%</f>
        <v>3.5150000000000001</v>
      </c>
      <c r="Q33" s="68"/>
      <c r="R33" s="67"/>
      <c r="S33" s="66"/>
      <c r="T33" s="65"/>
      <c r="U33" s="64"/>
      <c r="V33" s="70"/>
      <c r="W33" s="69">
        <f>+W6*185%</f>
        <v>3.5150000000000001</v>
      </c>
      <c r="X33" s="68"/>
      <c r="Y33" s="67"/>
      <c r="Z33" s="66"/>
      <c r="AA33" s="65"/>
      <c r="AB33" s="64"/>
    </row>
    <row r="34" spans="1:28" ht="15" x14ac:dyDescent="0.25">
      <c r="A34" s="63" t="s">
        <v>6</v>
      </c>
      <c r="B34" s="57">
        <f>+((9.5*185%))+((1.9*185%)*3)</f>
        <v>28.119999999999997</v>
      </c>
      <c r="C34" s="61">
        <f>+(C32)+((3)*((B33)))</f>
        <v>29.701750000000004</v>
      </c>
      <c r="D34" s="60">
        <f>+D32+((3)*(($B$33)))</f>
        <v>30.562000000000005</v>
      </c>
      <c r="E34" s="59">
        <f>+E32+((3)*(($B$33)))</f>
        <v>31.459249999999997</v>
      </c>
      <c r="F34" s="53">
        <f>+F32+((3)*(($B$33)))</f>
        <v>32.319499999999998</v>
      </c>
      <c r="G34" s="52">
        <f>+G32+((3)*(($B$33)))</f>
        <v>33.216750000000005</v>
      </c>
      <c r="H34" s="58"/>
      <c r="I34" s="57">
        <f>+((9.5*185%))+((1.9*185%)*6)</f>
        <v>38.664999999999999</v>
      </c>
      <c r="J34" s="61">
        <f>+J32+((6)*($B$33))</f>
        <v>40.246750000000006</v>
      </c>
      <c r="K34" s="60">
        <f>+K32+((6)*($B$33))</f>
        <v>41.106999999999999</v>
      </c>
      <c r="L34" s="59">
        <f>+L32+((6)*($B$33))</f>
        <v>42.004249999999999</v>
      </c>
      <c r="M34" s="53">
        <f>+M32+((6)*($B$33))</f>
        <v>42.8645</v>
      </c>
      <c r="N34" s="52">
        <f>+N32+((6)*($B$33))</f>
        <v>43.761750000000006</v>
      </c>
      <c r="O34" s="58"/>
      <c r="P34" s="57">
        <f>+((9.5*185%))+((1.9*185%)*10)</f>
        <v>52.724999999999994</v>
      </c>
      <c r="Q34" s="61">
        <f>+Q32+((10)*($B$33))</f>
        <v>54.306750000000001</v>
      </c>
      <c r="R34" s="60">
        <f>+R32+((10)*($B$33))</f>
        <v>55.167000000000002</v>
      </c>
      <c r="S34" s="59">
        <f>+S32+((10)*($B$33))</f>
        <v>56.064250000000001</v>
      </c>
      <c r="T34" s="53">
        <f>+T32+((10)*($B$33))</f>
        <v>56.924499999999995</v>
      </c>
      <c r="U34" s="52">
        <f>+U32+((10)*($B$33))</f>
        <v>57.821750000000002</v>
      </c>
      <c r="V34" s="58"/>
      <c r="W34" s="57">
        <f>+((9.5*185%))+((1.9*185%)*15)</f>
        <v>70.3</v>
      </c>
      <c r="X34" s="61">
        <f>+X32+((15)*($B$33))</f>
        <v>71.881750000000011</v>
      </c>
      <c r="Y34" s="60">
        <f>+Y32+((15)*(($B$33)))</f>
        <v>72.742000000000004</v>
      </c>
      <c r="Z34" s="59">
        <f>+Z32+((15)*(($B$33)))</f>
        <v>73.639250000000004</v>
      </c>
      <c r="AA34" s="53">
        <f>+AA32+((15)*(($B$33)))</f>
        <v>74.499499999999998</v>
      </c>
      <c r="AB34" s="52">
        <f>+AB32+((15)*(($B$33)))</f>
        <v>75.396749999999997</v>
      </c>
    </row>
    <row r="35" spans="1:28" ht="15" x14ac:dyDescent="0.25">
      <c r="A35" s="62" t="s">
        <v>5</v>
      </c>
      <c r="B35" s="57">
        <f t="shared" ref="B35:G35" si="28">B34*0.06</f>
        <v>1.6871999999999998</v>
      </c>
      <c r="C35" s="61">
        <f t="shared" si="28"/>
        <v>1.7821050000000003</v>
      </c>
      <c r="D35" s="60">
        <f t="shared" si="28"/>
        <v>1.8337200000000002</v>
      </c>
      <c r="E35" s="59">
        <f t="shared" si="28"/>
        <v>1.8875549999999999</v>
      </c>
      <c r="F35" s="53">
        <f t="shared" si="28"/>
        <v>1.9391699999999998</v>
      </c>
      <c r="G35" s="52">
        <f t="shared" si="28"/>
        <v>1.9930050000000001</v>
      </c>
      <c r="H35" s="58"/>
      <c r="I35" s="57">
        <f t="shared" ref="I35:N35" si="29">I34*0.06</f>
        <v>2.3199000000000001</v>
      </c>
      <c r="J35" s="61">
        <f t="shared" si="29"/>
        <v>2.4148050000000003</v>
      </c>
      <c r="K35" s="60">
        <f t="shared" si="29"/>
        <v>2.4664199999999998</v>
      </c>
      <c r="L35" s="59">
        <f t="shared" si="29"/>
        <v>2.5202549999999997</v>
      </c>
      <c r="M35" s="53">
        <f t="shared" si="29"/>
        <v>2.5718700000000001</v>
      </c>
      <c r="N35" s="52">
        <f t="shared" si="29"/>
        <v>2.6257050000000004</v>
      </c>
      <c r="O35" s="58"/>
      <c r="P35" s="57">
        <f t="shared" ref="P35:U35" si="30">P34*0.06</f>
        <v>3.1634999999999995</v>
      </c>
      <c r="Q35" s="61">
        <f t="shared" si="30"/>
        <v>3.2584049999999998</v>
      </c>
      <c r="R35" s="60">
        <f t="shared" si="30"/>
        <v>3.3100200000000002</v>
      </c>
      <c r="S35" s="59">
        <f t="shared" si="30"/>
        <v>3.363855</v>
      </c>
      <c r="T35" s="53">
        <f t="shared" si="30"/>
        <v>3.4154699999999996</v>
      </c>
      <c r="U35" s="52">
        <f t="shared" si="30"/>
        <v>3.4693049999999999</v>
      </c>
      <c r="V35" s="58"/>
      <c r="W35" s="57">
        <f t="shared" ref="W35:AB35" si="31">W34*0.06</f>
        <v>4.218</v>
      </c>
      <c r="X35" s="56">
        <f t="shared" si="31"/>
        <v>4.3129050000000007</v>
      </c>
      <c r="Y35" s="55">
        <f t="shared" si="31"/>
        <v>4.3645199999999997</v>
      </c>
      <c r="Z35" s="54">
        <f t="shared" si="31"/>
        <v>4.418355</v>
      </c>
      <c r="AA35" s="53">
        <f t="shared" si="31"/>
        <v>4.46997</v>
      </c>
      <c r="AB35" s="52">
        <f t="shared" si="31"/>
        <v>4.5238049999999994</v>
      </c>
    </row>
    <row r="36" spans="1:28" ht="15.6" x14ac:dyDescent="0.3">
      <c r="A36" s="51" t="s">
        <v>4</v>
      </c>
      <c r="B36" s="46">
        <f t="shared" ref="B36:G36" si="32">SUM(B34:B35)</f>
        <v>29.807199999999998</v>
      </c>
      <c r="C36" s="50">
        <f t="shared" si="32"/>
        <v>31.483855000000005</v>
      </c>
      <c r="D36" s="49">
        <f t="shared" si="32"/>
        <v>32.395720000000004</v>
      </c>
      <c r="E36" s="48">
        <f t="shared" si="32"/>
        <v>33.346804999999996</v>
      </c>
      <c r="F36" s="42">
        <f t="shared" si="32"/>
        <v>34.258669999999995</v>
      </c>
      <c r="G36" s="41">
        <f t="shared" si="32"/>
        <v>35.209755000000001</v>
      </c>
      <c r="H36" s="47"/>
      <c r="I36" s="46">
        <f t="shared" ref="I36:N36" si="33">SUM(I34:I35)</f>
        <v>40.984899999999996</v>
      </c>
      <c r="J36" s="50">
        <f t="shared" si="33"/>
        <v>42.661555000000007</v>
      </c>
      <c r="K36" s="49">
        <f t="shared" si="33"/>
        <v>43.573419999999999</v>
      </c>
      <c r="L36" s="48">
        <f t="shared" si="33"/>
        <v>44.524504999999998</v>
      </c>
      <c r="M36" s="42">
        <f t="shared" si="33"/>
        <v>45.436369999999997</v>
      </c>
      <c r="N36" s="41">
        <f t="shared" si="33"/>
        <v>46.38745500000001</v>
      </c>
      <c r="O36" s="47"/>
      <c r="P36" s="46">
        <f t="shared" ref="P36:U36" si="34">SUM(P34:P35)</f>
        <v>55.888499999999993</v>
      </c>
      <c r="Q36" s="50">
        <f t="shared" si="34"/>
        <v>57.565155000000004</v>
      </c>
      <c r="R36" s="49">
        <f t="shared" si="34"/>
        <v>58.477020000000003</v>
      </c>
      <c r="S36" s="48">
        <f t="shared" si="34"/>
        <v>59.428105000000002</v>
      </c>
      <c r="T36" s="42">
        <f t="shared" si="34"/>
        <v>60.339969999999994</v>
      </c>
      <c r="U36" s="41">
        <f t="shared" si="34"/>
        <v>61.291055</v>
      </c>
      <c r="V36" s="47"/>
      <c r="W36" s="46">
        <f t="shared" ref="W36:AB36" si="35">SUM(W34:W35)</f>
        <v>74.518000000000001</v>
      </c>
      <c r="X36" s="45">
        <f t="shared" si="35"/>
        <v>76.194655000000012</v>
      </c>
      <c r="Y36" s="44">
        <f t="shared" si="35"/>
        <v>77.106520000000003</v>
      </c>
      <c r="Z36" s="43">
        <f t="shared" si="35"/>
        <v>78.057605000000009</v>
      </c>
      <c r="AA36" s="42">
        <f t="shared" si="35"/>
        <v>78.969470000000001</v>
      </c>
      <c r="AB36" s="41">
        <f t="shared" si="35"/>
        <v>79.920554999999993</v>
      </c>
    </row>
    <row r="37" spans="1:28" ht="15.6" x14ac:dyDescent="0.3">
      <c r="A37" s="40" t="s">
        <v>3</v>
      </c>
      <c r="B37" s="33"/>
      <c r="C37" s="32">
        <f>(C36-B36)/B36</f>
        <v>5.6250000000000251E-2</v>
      </c>
      <c r="D37" s="31">
        <f>(D36-C36)/C36</f>
        <v>2.8962939894113939E-2</v>
      </c>
      <c r="E37" s="30">
        <f>(E36-D36)/D36</f>
        <v>2.9358353510895632E-2</v>
      </c>
      <c r="F37" s="39">
        <f>(F36-E36)/E36</f>
        <v>2.7344898559247249E-2</v>
      </c>
      <c r="G37" s="38">
        <f>(G36-F36)/F36</f>
        <v>2.7761877504293257E-2</v>
      </c>
      <c r="H37" s="34"/>
      <c r="I37" s="33"/>
      <c r="J37" s="37">
        <f>+(((J36)-((J34-J32+$B$32)+((J34-J32+$B$32)*6%)))/((J34-J32+$B$32)+((J34-J32+$B$32)*6%)))</f>
        <v>4.0909090909090999E-2</v>
      </c>
      <c r="K37" s="31">
        <f>+(K36-J36)/J36</f>
        <v>2.1374396690415798E-2</v>
      </c>
      <c r="L37" s="30">
        <f>+(L36-K36)/K36</f>
        <v>2.1827182718271807E-2</v>
      </c>
      <c r="M37" s="36">
        <f>+(M36-L36)/L36</f>
        <v>2.0480070469059652E-2</v>
      </c>
      <c r="N37" s="35">
        <f>+(N36-M36)/M36</f>
        <v>2.0932239965472887E-2</v>
      </c>
      <c r="O37" s="34"/>
      <c r="P37" s="33"/>
      <c r="Q37" s="32">
        <f>+(((Q36)-((Q34-Q32+$B$32)+((Q34-Q32+$B$32)*6%)))/((Q34-Q32+$B$32)+((Q34-Q32+$B$32)*6%)))</f>
        <v>3.0000000000000197E-2</v>
      </c>
      <c r="R37" s="31">
        <f>+(R36-Q36)/Q36</f>
        <v>1.5840572304547756E-2</v>
      </c>
      <c r="S37" s="30">
        <f>(S36-R36)/R36</f>
        <v>1.6264252179745121E-2</v>
      </c>
      <c r="T37" s="36">
        <f>+(T36-S36)/S36</f>
        <v>1.5344002639828271E-2</v>
      </c>
      <c r="U37" s="35">
        <f>+(U36-T36)/T36</f>
        <v>1.5762105947351421E-2</v>
      </c>
      <c r="V37" s="34"/>
      <c r="W37" s="33"/>
      <c r="X37" s="32">
        <f>+(((X36)-((X34-X32+$B$32)+((X34-X32+$B$32)*6%)))/((X34-X32+$B$32)+((X34-X32+$B$32)*6%)))</f>
        <v>2.2499999999999951E-2</v>
      </c>
      <c r="Y37" s="31">
        <f>(Y36-X36)/X36</f>
        <v>1.1967571741088553E-2</v>
      </c>
      <c r="Z37" s="30">
        <f>(Z36-Y36)/Y36</f>
        <v>1.2334689725330699E-2</v>
      </c>
      <c r="AA37" s="29">
        <f>(AA36-Z36)/Z36</f>
        <v>1.1681949503831069E-2</v>
      </c>
      <c r="AB37" s="28">
        <f>(AB36-AA36)/AA36</f>
        <v>1.2043704991308565E-2</v>
      </c>
    </row>
    <row r="38" spans="1:28" ht="15.6" x14ac:dyDescent="0.3">
      <c r="A38" s="27" t="s">
        <v>2</v>
      </c>
      <c r="B38" s="25"/>
      <c r="C38" s="19">
        <f>+C36-B36</f>
        <v>1.6766550000000073</v>
      </c>
      <c r="D38" s="24">
        <f>+D36-C36</f>
        <v>0.91186499999999882</v>
      </c>
      <c r="E38" s="23">
        <f>+E36-D36</f>
        <v>0.95108499999999196</v>
      </c>
      <c r="F38" s="22">
        <f>+F36-E36</f>
        <v>0.91186499999999882</v>
      </c>
      <c r="G38" s="21">
        <f>+G36-F36</f>
        <v>0.95108500000000618</v>
      </c>
      <c r="H38" s="26"/>
      <c r="I38" s="20"/>
      <c r="J38" s="19">
        <f>+J36-I36</f>
        <v>1.6766550000000109</v>
      </c>
      <c r="K38" s="18">
        <f>+K36-J36</f>
        <v>0.91186499999999171</v>
      </c>
      <c r="L38" s="17">
        <f>+L36-K36</f>
        <v>0.95108499999999907</v>
      </c>
      <c r="M38" s="16">
        <f>+M36-L36</f>
        <v>0.91186499999999882</v>
      </c>
      <c r="N38" s="15">
        <f>+N36-M36</f>
        <v>0.95108500000001328</v>
      </c>
      <c r="O38" s="26"/>
      <c r="P38" s="20"/>
      <c r="Q38" s="19">
        <f>+Q36-P36</f>
        <v>1.6766550000000109</v>
      </c>
      <c r="R38" s="18">
        <f>+R36-Q36</f>
        <v>0.91186499999999882</v>
      </c>
      <c r="S38" s="17">
        <f>+S36-R36</f>
        <v>0.95108499999999907</v>
      </c>
      <c r="T38" s="16">
        <f>+T36-S36</f>
        <v>0.91186499999999171</v>
      </c>
      <c r="U38" s="15">
        <f>+U36-T36</f>
        <v>0.95108500000000618</v>
      </c>
      <c r="V38" s="26"/>
      <c r="W38" s="20"/>
      <c r="X38" s="19">
        <f>+X36-W36</f>
        <v>1.6766550000000109</v>
      </c>
      <c r="Y38" s="18">
        <f>+Y36-X36</f>
        <v>0.91186499999999171</v>
      </c>
      <c r="Z38" s="17">
        <f>+Z36-Y36</f>
        <v>0.95108500000000618</v>
      </c>
      <c r="AA38" s="16">
        <f>+AA36-Z36</f>
        <v>0.91186499999999171</v>
      </c>
      <c r="AB38" s="15">
        <f>+AB36-AA36</f>
        <v>0.95108499999999196</v>
      </c>
    </row>
    <row r="39" spans="1:28" ht="15.6" x14ac:dyDescent="0.3">
      <c r="B39" s="25"/>
      <c r="C39" s="10"/>
      <c r="D39" s="9"/>
      <c r="E39" s="8"/>
      <c r="F39" s="7"/>
      <c r="G39" s="6"/>
      <c r="H39" s="88"/>
      <c r="I39" s="25"/>
      <c r="J39" s="10"/>
      <c r="K39" s="9"/>
      <c r="L39" s="8"/>
      <c r="M39" s="7"/>
      <c r="N39" s="6"/>
      <c r="O39" s="88"/>
      <c r="P39" s="25"/>
      <c r="Q39" s="10"/>
      <c r="R39" s="9"/>
      <c r="S39" s="8"/>
      <c r="T39" s="7"/>
      <c r="U39" s="6"/>
      <c r="V39" s="88"/>
      <c r="W39" s="25"/>
      <c r="X39" s="10"/>
      <c r="Y39" s="9"/>
      <c r="Z39" s="8"/>
      <c r="AA39" s="7"/>
      <c r="AB39" s="6"/>
    </row>
    <row r="40" spans="1:28" ht="15.6" x14ac:dyDescent="0.3">
      <c r="A40" s="14" t="s">
        <v>1</v>
      </c>
      <c r="B40" s="13"/>
      <c r="C40" s="10">
        <f>+C38*12</f>
        <v>20.119860000000088</v>
      </c>
      <c r="D40" s="9">
        <f>+D38*12</f>
        <v>10.942379999999986</v>
      </c>
      <c r="E40" s="8">
        <f>+E38*12</f>
        <v>11.413019999999904</v>
      </c>
      <c r="F40" s="7">
        <f>+F38*12</f>
        <v>10.942379999999986</v>
      </c>
      <c r="G40" s="6">
        <f>+G38*12</f>
        <v>11.413020000000074</v>
      </c>
      <c r="H40" s="12"/>
      <c r="I40" s="11"/>
      <c r="J40" s="10">
        <f>+J38*12</f>
        <v>20.119860000000131</v>
      </c>
      <c r="K40" s="9">
        <f>+K38*12</f>
        <v>10.942379999999901</v>
      </c>
      <c r="L40" s="8">
        <f>+L38*12</f>
        <v>11.413019999999989</v>
      </c>
      <c r="M40" s="7">
        <f>+M38*12</f>
        <v>10.942379999999986</v>
      </c>
      <c r="N40" s="6">
        <f>+N38*12</f>
        <v>11.413020000000159</v>
      </c>
      <c r="O40" s="12"/>
      <c r="P40" s="11"/>
      <c r="Q40" s="10">
        <f>+Q38*12</f>
        <v>20.119860000000131</v>
      </c>
      <c r="R40" s="9">
        <f>+R38*12</f>
        <v>10.942379999999986</v>
      </c>
      <c r="S40" s="8">
        <f>+S38*12</f>
        <v>11.413019999999989</v>
      </c>
      <c r="T40" s="7">
        <f>+T38*12</f>
        <v>10.942379999999901</v>
      </c>
      <c r="U40" s="6">
        <f>+U38*12</f>
        <v>11.413020000000074</v>
      </c>
      <c r="V40" s="12"/>
      <c r="W40" s="11"/>
      <c r="X40" s="10">
        <f>+X38*12</f>
        <v>20.119860000000131</v>
      </c>
      <c r="Y40" s="9">
        <f>+Y38*12</f>
        <v>10.942379999999901</v>
      </c>
      <c r="Z40" s="8">
        <f>+Z38*12</f>
        <v>11.413020000000074</v>
      </c>
      <c r="AA40" s="7">
        <f>+AA38*12</f>
        <v>10.942379999999901</v>
      </c>
      <c r="AB40" s="6">
        <f>+AB38*12</f>
        <v>11.413019999999904</v>
      </c>
    </row>
    <row r="41" spans="1:28" ht="15.6" x14ac:dyDescent="0.3">
      <c r="A41" s="5" t="s">
        <v>0</v>
      </c>
      <c r="G41" s="4">
        <f>+(G36-B36)/B36</f>
        <v>0.18125000000000011</v>
      </c>
      <c r="J41" s="3"/>
      <c r="N41" s="4">
        <f>+(N36-I36)/I36</f>
        <v>0.13181818181818217</v>
      </c>
      <c r="Q41" s="3"/>
      <c r="U41" s="2">
        <f>+(U36-P36)/P36</f>
        <v>9.6666666666666803E-2</v>
      </c>
      <c r="X41" s="3"/>
      <c r="AB41" s="2">
        <f>+(AB36-W36)/W36</f>
        <v>7.2499999999999898E-2</v>
      </c>
    </row>
  </sheetData>
  <printOptions horizontalCentered="1" gridLines="1"/>
  <pageMargins left="0.17" right="0.2" top="1" bottom="1" header="0.5" footer="0.5"/>
  <pageSetup scale="68" fitToHeight="0" orientation="landscape" r:id="rId1"/>
  <headerFooter scaleWithDoc="0" alignWithMargins="0">
    <oddHeader>&amp;C&amp;"Cooper Black,Bold"&amp;14&amp;K00B050RESIDENTIAL RATE ESTIMATES BASED ON HOUSEHOLD SIZE
ALTERNATIVE TWO - INCREASE ONLY BASE FEE&amp;R&amp;14&amp;P</oddHeader>
  </headerFooter>
  <colBreaks count="1" manualBreakCount="1">
    <brk id="8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3"/>
  <sheetViews>
    <sheetView workbookViewId="0">
      <selection activeCell="L19" sqref="L19"/>
    </sheetView>
  </sheetViews>
  <sheetFormatPr defaultRowHeight="13.2" x14ac:dyDescent="0.25"/>
  <cols>
    <col min="3" max="3" width="18.44140625" customWidth="1"/>
    <col min="4" max="4" width="9.6640625" customWidth="1"/>
    <col min="6" max="6" width="18.44140625" customWidth="1"/>
    <col min="7" max="7" width="9.6640625" customWidth="1"/>
  </cols>
  <sheetData>
    <row r="3" spans="3:7" x14ac:dyDescent="0.25">
      <c r="C3" s="162" t="s">
        <v>38</v>
      </c>
      <c r="F3" s="162" t="s">
        <v>38</v>
      </c>
    </row>
    <row r="4" spans="3:7" x14ac:dyDescent="0.25">
      <c r="C4" t="s">
        <v>39</v>
      </c>
      <c r="F4" t="s">
        <v>39</v>
      </c>
    </row>
    <row r="5" spans="3:7" x14ac:dyDescent="0.25">
      <c r="C5" t="s">
        <v>40</v>
      </c>
      <c r="F5" t="s">
        <v>40</v>
      </c>
    </row>
    <row r="7" spans="3:7" x14ac:dyDescent="0.25">
      <c r="C7" t="s">
        <v>50</v>
      </c>
      <c r="D7" s="161">
        <f>+(9.5)+(10*1.9)</f>
        <v>28.5</v>
      </c>
      <c r="F7" t="s">
        <v>41</v>
      </c>
      <c r="G7" s="161">
        <f>+(9.5)+(6*1.9)</f>
        <v>20.9</v>
      </c>
    </row>
    <row r="8" spans="3:7" x14ac:dyDescent="0.25">
      <c r="C8" t="s">
        <v>51</v>
      </c>
      <c r="D8" s="161">
        <f>38.5+(10*6)</f>
        <v>98.5</v>
      </c>
      <c r="F8" t="s">
        <v>42</v>
      </c>
      <c r="G8" s="161">
        <f>38.5+(6*6)</f>
        <v>74.5</v>
      </c>
    </row>
    <row r="9" spans="3:7" x14ac:dyDescent="0.25">
      <c r="C9" t="s">
        <v>43</v>
      </c>
      <c r="D9" s="161">
        <f>+(D7+D8)*6%</f>
        <v>7.62</v>
      </c>
      <c r="F9" t="s">
        <v>43</v>
      </c>
      <c r="G9" s="161">
        <f>+(G7+G8)*6%</f>
        <v>5.7240000000000002</v>
      </c>
    </row>
    <row r="10" spans="3:7" x14ac:dyDescent="0.25">
      <c r="C10" t="s">
        <v>44</v>
      </c>
      <c r="D10" s="161">
        <f>SUM(D7:D9)</f>
        <v>134.62</v>
      </c>
      <c r="F10" t="s">
        <v>44</v>
      </c>
      <c r="G10" s="161">
        <f>SUM(G7:G9)</f>
        <v>101.12400000000001</v>
      </c>
    </row>
    <row r="11" spans="3:7" x14ac:dyDescent="0.25">
      <c r="D11" s="161"/>
      <c r="G11" s="161"/>
    </row>
    <row r="12" spans="3:7" x14ac:dyDescent="0.25">
      <c r="C12" s="162" t="s">
        <v>45</v>
      </c>
      <c r="D12" s="161"/>
      <c r="F12" s="162" t="s">
        <v>45</v>
      </c>
      <c r="G12" s="161"/>
    </row>
    <row r="13" spans="3:7" x14ac:dyDescent="0.25">
      <c r="C13" t="s">
        <v>46</v>
      </c>
      <c r="D13" s="161"/>
      <c r="F13" t="s">
        <v>46</v>
      </c>
      <c r="G13" s="161"/>
    </row>
    <row r="14" spans="3:7" x14ac:dyDescent="0.25">
      <c r="C14" t="s">
        <v>47</v>
      </c>
      <c r="D14" s="161"/>
      <c r="F14" t="s">
        <v>47</v>
      </c>
      <c r="G14" s="161"/>
    </row>
    <row r="15" spans="3:7" x14ac:dyDescent="0.25">
      <c r="D15" s="161"/>
      <c r="G15" s="161"/>
    </row>
    <row r="16" spans="3:7" x14ac:dyDescent="0.25">
      <c r="C16" t="s">
        <v>50</v>
      </c>
      <c r="D16" s="161">
        <f>9.88+(10*1.98)</f>
        <v>29.68</v>
      </c>
      <c r="F16" t="s">
        <v>41</v>
      </c>
      <c r="G16" s="161">
        <f>9.88+(6*1.98)</f>
        <v>21.759999999999998</v>
      </c>
    </row>
    <row r="17" spans="3:7" x14ac:dyDescent="0.25">
      <c r="C17" t="s">
        <v>51</v>
      </c>
      <c r="D17">
        <f>44.66+(10*6)</f>
        <v>104.66</v>
      </c>
      <c r="F17" t="s">
        <v>42</v>
      </c>
      <c r="G17">
        <f>44.66+(6*6)</f>
        <v>80.66</v>
      </c>
    </row>
    <row r="18" spans="3:7" x14ac:dyDescent="0.25">
      <c r="C18" t="s">
        <v>43</v>
      </c>
      <c r="D18">
        <f>+(D16+D17)*6%</f>
        <v>8.0603999999999996</v>
      </c>
      <c r="F18" t="s">
        <v>43</v>
      </c>
      <c r="G18">
        <f>+(G16+G17)*6%</f>
        <v>6.1451999999999991</v>
      </c>
    </row>
    <row r="19" spans="3:7" x14ac:dyDescent="0.25">
      <c r="D19" s="161">
        <f>SUM(D16:D18)</f>
        <v>142.40039999999999</v>
      </c>
      <c r="G19" s="161">
        <f>SUM(G16:G18)</f>
        <v>108.56519999999999</v>
      </c>
    </row>
    <row r="21" spans="3:7" x14ac:dyDescent="0.25">
      <c r="C21" s="163" t="s">
        <v>48</v>
      </c>
      <c r="D21" s="164">
        <f>+D19-D10</f>
        <v>7.780399999999986</v>
      </c>
      <c r="F21" s="163" t="s">
        <v>48</v>
      </c>
      <c r="G21" s="164">
        <f>+G19-G10</f>
        <v>7.4411999999999807</v>
      </c>
    </row>
    <row r="22" spans="3:7" x14ac:dyDescent="0.25">
      <c r="C22" s="163"/>
      <c r="D22" s="163"/>
      <c r="F22" s="163"/>
      <c r="G22" s="163"/>
    </row>
    <row r="23" spans="3:7" x14ac:dyDescent="0.25">
      <c r="C23" s="163" t="s">
        <v>49</v>
      </c>
      <c r="D23" s="164">
        <f>+D21*12</f>
        <v>93.364799999999832</v>
      </c>
      <c r="F23" s="163" t="s">
        <v>49</v>
      </c>
      <c r="G23" s="164">
        <f>+G21*12</f>
        <v>89.294399999999769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Alternative 1 Base &amp; Volume</vt:lpstr>
      <vt:lpstr>Alternative 2 Base Only</vt:lpstr>
      <vt:lpstr>Sheet1</vt:lpstr>
      <vt:lpstr>'Alternative 1 Base &amp; Volume'!Print_Area</vt:lpstr>
      <vt:lpstr>'Alternative 2 Base Only'!Print_Area</vt:lpstr>
      <vt:lpstr>'Alternative 1 Base &amp; Volume'!Print_Titles</vt:lpstr>
      <vt:lpstr>'Alternative 2 Base Only'!Print_Titles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 McMaster</dc:creator>
  <cp:lastModifiedBy>Coni McMaster</cp:lastModifiedBy>
  <cp:lastPrinted>2015-10-16T21:07:38Z</cp:lastPrinted>
  <dcterms:created xsi:type="dcterms:W3CDTF">2015-10-13T18:13:50Z</dcterms:created>
  <dcterms:modified xsi:type="dcterms:W3CDTF">2015-10-16T21:09:27Z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